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4490" windowHeight="10275" activeTab="0"/>
  </bookViews>
  <sheets>
    <sheet name="Reconciliation Table" sheetId="1" r:id="rId1"/>
    <sheet name="Table A" sheetId="2" r:id="rId2"/>
    <sheet name="YS Annex" sheetId="3" r:id="rId3"/>
    <sheet name="Table B" sheetId="4" r:id="rId4"/>
  </sheets>
  <externalReferences>
    <externalReference r:id="rId7"/>
  </externalReferences>
  <definedNames>
    <definedName name="enddfes">'Table B'!$C$118</definedName>
    <definedName name="startdfes">'Table B'!$C$10</definedName>
  </definedNames>
  <calcPr fullCalcOnLoad="1"/>
</workbook>
</file>

<file path=xl/comments2.xml><?xml version="1.0" encoding="utf-8"?>
<comments xmlns="http://schemas.openxmlformats.org/spreadsheetml/2006/main">
  <authors>
    <author>iking</author>
  </authors>
  <commentList>
    <comment ref="H101" authorId="0">
      <text>
        <r>
          <rPr>
            <sz val="9"/>
            <rFont val="Arial"/>
            <family val="2"/>
          </rPr>
          <t>Does not include Govt. Grants inside or outside AEF</t>
        </r>
      </text>
    </comment>
    <comment ref="I101" authorId="0">
      <text>
        <r>
          <rPr>
            <sz val="9"/>
            <rFont val="Arial"/>
            <family val="2"/>
          </rPr>
          <t>Does not net off Govt. Grants inside or outside AEF</t>
        </r>
      </text>
    </comment>
  </commentList>
</comments>
</file>

<file path=xl/sharedStrings.xml><?xml version="1.0" encoding="utf-8"?>
<sst xmlns="http://schemas.openxmlformats.org/spreadsheetml/2006/main" count="560" uniqueCount="482">
  <si>
    <t xml:space="preserve">S52 EDUCATION OUTTURN STATEMENT </t>
  </si>
  <si>
    <t>LA Name</t>
  </si>
  <si>
    <t xml:space="preserve">Hillingdon </t>
  </si>
  <si>
    <t>LEA No.</t>
  </si>
  <si>
    <t>Year 2007-2008</t>
  </si>
  <si>
    <t>SUMMARY TABLE - RECONCILIATION OF THE DEDICATED SCHOOLS GRANT/BUDGET AND OUTTURN SPEND</t>
  </si>
  <si>
    <t>Comparable s52 Line Reference</t>
  </si>
  <si>
    <t>Budget 2007-08
(net)
£</t>
  </si>
  <si>
    <t>Outturn 2007-08
(LA NRE)
£</t>
  </si>
  <si>
    <t>Variance
£</t>
  </si>
  <si>
    <t>Variance
%</t>
  </si>
  <si>
    <t>Reconciliation Line Ref</t>
  </si>
  <si>
    <t>Budget (net)</t>
  </si>
  <si>
    <t>Outturn (LA Net Revenue Expenditure - column r)</t>
  </si>
  <si>
    <t>(a)</t>
  </si>
  <si>
    <t>(b)</t>
  </si>
  <si>
    <t>(c)</t>
  </si>
  <si>
    <t>(d)</t>
  </si>
  <si>
    <t>(e)</t>
  </si>
  <si>
    <t>(f)</t>
  </si>
  <si>
    <t>Schools Budget</t>
  </si>
  <si>
    <t>Dedicated Schools Grant</t>
  </si>
  <si>
    <t>R1.1</t>
  </si>
  <si>
    <t>Schools Budget supported by Dedicated Schools Grant</t>
  </si>
  <si>
    <t>R1.2</t>
  </si>
  <si>
    <t>Any amount to be carried over to 2008-09</t>
  </si>
  <si>
    <t>R1.3</t>
  </si>
  <si>
    <t>Final Dedicated Schools Grant for 2007-08</t>
  </si>
  <si>
    <t>Spend falling within the definition of the Schools Budget</t>
  </si>
  <si>
    <t>R2.1</t>
  </si>
  <si>
    <t>Schools budget supported by Dedicated Schools Grant</t>
  </si>
  <si>
    <t>R2.2</t>
  </si>
  <si>
    <t>Budget 07-08 T1: 5a.1 to 5c.2 (income)</t>
  </si>
  <si>
    <t>LSC Funding</t>
  </si>
  <si>
    <t>R2.3</t>
  </si>
  <si>
    <t>LA to enter</t>
  </si>
  <si>
    <t>LA additional contribution</t>
  </si>
  <si>
    <t>R2.4</t>
  </si>
  <si>
    <t>Outturn 07-08 TA: 68 (NRE) + 57 (col f)</t>
  </si>
  <si>
    <t>Spending by schools (including schools CERA)</t>
  </si>
  <si>
    <t>R2.5</t>
  </si>
  <si>
    <t xml:space="preserve">Outturn 07-08 TA: 80 (NRE) </t>
  </si>
  <si>
    <t>Spending by LA within the schools budget (including CERA)</t>
  </si>
  <si>
    <t>Grants scored "gross" in the Schools Budget</t>
  </si>
  <si>
    <t>R3.1</t>
  </si>
  <si>
    <t>Budget 07-08 T1: 5a.1 to 5a.2 (income)</t>
  </si>
  <si>
    <t>LSC grant supporting the ISB</t>
  </si>
  <si>
    <t>R3.2</t>
  </si>
  <si>
    <t>Budget 07-08 T1: 5b.1 to 5c.2 (income)</t>
  </si>
  <si>
    <t xml:space="preserve"> LSC grant (other) [including LSC Threshold and Performance Pay Costs]</t>
  </si>
  <si>
    <t>R3.3</t>
  </si>
  <si>
    <t>Budget 07-08 T1: 1.6.5 (net)</t>
  </si>
  <si>
    <t>Performance Reward Grant</t>
  </si>
  <si>
    <t>Total Schools Budget net of grant income</t>
  </si>
  <si>
    <t>R4.1</t>
  </si>
  <si>
    <t>R2.1 + R2.2 + R2.3 - R3.1 - R3.2 - R3.3</t>
  </si>
  <si>
    <t>Spend falling within the definition of the Schools Budget less grants scored "gross"</t>
  </si>
  <si>
    <t>Outturn 07-08 TA: 81 (NRE)</t>
  </si>
  <si>
    <t>Total Schools Budget (including CERA)</t>
  </si>
  <si>
    <t>R4.2</t>
  </si>
  <si>
    <t>Budegt 07-08 T1: sum of lines 1.2.1 to 1.7.2 less grant funding in lines 5b.1 to 5b.4</t>
  </si>
  <si>
    <t>of which central spend (unadjusted for increases to / exclusions from limit)</t>
  </si>
  <si>
    <t>Outturn 07-08 TA: 80 (NRE)</t>
  </si>
  <si>
    <t>subtotal: central expenditure within the schools budget (including CERA)</t>
  </si>
  <si>
    <t>Total Schools Budget net of grant income, adjusted for school balances (see note 1 below)</t>
  </si>
  <si>
    <t>R5.1</t>
  </si>
  <si>
    <t>R4.1 + Outturn 07-08 TA: 61 to 63 (col f) - 58 to 60 (col f)</t>
  </si>
  <si>
    <t>Total Schools Budget (including CERA) + closing B01, B02 &amp; B06 - opening B01, B02 &amp; B06</t>
  </si>
  <si>
    <t>LA Budget</t>
  </si>
  <si>
    <t>LA Central Functions</t>
  </si>
  <si>
    <t>Central Administration</t>
  </si>
  <si>
    <t>R6.1</t>
  </si>
  <si>
    <t>Budget 07-08 T1: 2.0.1 + 2.0.5 + 2.0.6 (net)</t>
  </si>
  <si>
    <t>Statutory / regulatory duties + joint use arrangements + insurance</t>
  </si>
  <si>
    <t>Outturn 07-08 TA: 82 + 83 + 84 (NRE)</t>
  </si>
  <si>
    <t>Central Administration + Teacher Development + HE/FE courses run on behalf of the authority</t>
  </si>
  <si>
    <t>R6.2</t>
  </si>
  <si>
    <t>Budget 07-08 T1: 2.0.2 to 2.0.4 (net)</t>
  </si>
  <si>
    <t>PRC/redundancy costs + existing early retirement costs + residual pension liability</t>
  </si>
  <si>
    <t>Outturn 07-08 TA: 85 (NRE)</t>
  </si>
  <si>
    <t>PRC, Redundancy, Existing Early Retirement and Pension liabilities costs</t>
  </si>
  <si>
    <t>R6.3</t>
  </si>
  <si>
    <t>Total Central Administration</t>
  </si>
  <si>
    <t>Support and Access</t>
  </si>
  <si>
    <t>R7.1</t>
  </si>
  <si>
    <t>Budget 07-08 T1: 2.4.5 + 2.4.11 + 2.4.12 (net)</t>
  </si>
  <si>
    <t>Pupil support + music service + visual and performing arts</t>
  </si>
  <si>
    <t>Outturn 07-08 TA: 87 (NRE)</t>
  </si>
  <si>
    <t>Pupil Support</t>
  </si>
  <si>
    <t>R7.2</t>
  </si>
  <si>
    <t>Budget 07-08 T1: 2.0.7 + 2.2.7 + 2.3.1 + 2.4.1 to 2.4.4 + 2.4.10 + 2.4.13 (net)</t>
  </si>
  <si>
    <t>Monitoring National Curriculum Assessment + Total Special Education + school improvement + asset management + supply of school places + excluded pupils + behaviour support plans + education welfare service + outdoor education</t>
  </si>
  <si>
    <t>Outturn 07-08 TA: 88 (NRE)</t>
  </si>
  <si>
    <t>Other Support Services: expenditure falling within the definition of the "LA Budget"</t>
  </si>
  <si>
    <t>R7.3</t>
  </si>
  <si>
    <t>Budget 07-08 T1: 2.4.6 to 2.4.9 (net)</t>
  </si>
  <si>
    <t>Home to School / college transport</t>
  </si>
  <si>
    <t>Outturn 07-08 TA: 89 to 92 (NRE)</t>
  </si>
  <si>
    <t>R7.4</t>
  </si>
  <si>
    <t>Total Support and Access</t>
  </si>
  <si>
    <t>Additional authority expenditure related to special and specific grants</t>
  </si>
  <si>
    <t>R8.1</t>
  </si>
  <si>
    <t>Budget 07-08 T1: 2.1.1 (net)</t>
  </si>
  <si>
    <t>School Development Grant - non-devolved</t>
  </si>
  <si>
    <t>R8.2</t>
  </si>
  <si>
    <t>Budget 07-08 T1: 2.1.2 (net)</t>
  </si>
  <si>
    <t>Other Standards Fund - non-devolved</t>
  </si>
  <si>
    <t>R8.3</t>
  </si>
  <si>
    <t>Budget 07-08 T1: 2.1.3 (net)</t>
  </si>
  <si>
    <t>Other specific grants</t>
  </si>
  <si>
    <t>R8.4</t>
  </si>
  <si>
    <t>Total authority expenditure related to grants</t>
  </si>
  <si>
    <t>CERA  (LA Central functions)</t>
  </si>
  <si>
    <t>R9.1</t>
  </si>
  <si>
    <t>Budget 07-08 T1: 2.5.1 (net)</t>
  </si>
  <si>
    <t>CERA (LA Central functions)</t>
  </si>
  <si>
    <t>Outturn 07-08 TA: 102 (NRE)</t>
  </si>
  <si>
    <t>CERA (LA)</t>
  </si>
  <si>
    <t>R10.1</t>
  </si>
  <si>
    <t>Total LA Central Functions</t>
  </si>
  <si>
    <t>Youth &amp; Community and Adult</t>
  </si>
  <si>
    <t>R11.1</t>
  </si>
  <si>
    <t>Budget 07-08 T1: 2.7.1 to 2.7.5 (net)</t>
  </si>
  <si>
    <t>Youth Service + adult and community learning + mandatory awards + student support + discretionary awards</t>
  </si>
  <si>
    <t>Outturn 07-08 TA:  99 (NRE)</t>
  </si>
  <si>
    <t>Youth and Community Sub Total</t>
  </si>
  <si>
    <t>CERA  (Youth &amp; Community)</t>
  </si>
  <si>
    <t>R11.2</t>
  </si>
  <si>
    <t>Budget 07-08 T1: 2.7.6 (net)</t>
  </si>
  <si>
    <t>CERA (Youth and Community)</t>
  </si>
  <si>
    <t>Outturn 07-08 TA: 103 (NCE)</t>
  </si>
  <si>
    <t>R11.3</t>
  </si>
  <si>
    <t>Total Youth and Community (including CERA)</t>
  </si>
  <si>
    <t>Total "LA Budget" net of grant income</t>
  </si>
  <si>
    <t>R12.1</t>
  </si>
  <si>
    <t>Budget 07-08 T1: 2.8.1 (net)</t>
  </si>
  <si>
    <t>Total LA Budget</t>
  </si>
  <si>
    <t>R10.1 + R11.3</t>
  </si>
  <si>
    <t>Sum of "LA Budget" lines in Outturn</t>
  </si>
  <si>
    <t>Education Budget</t>
  </si>
  <si>
    <t>Total Education Budget / Expenditure net of grant income</t>
  </si>
  <si>
    <t>R13.1</t>
  </si>
  <si>
    <t>R4.1 + R12.1</t>
  </si>
  <si>
    <t>Total Education revenue expenditure less grants scored gross</t>
  </si>
  <si>
    <t>Outturn 2007-08 TA: 106 (NRE)</t>
  </si>
  <si>
    <t>Total Education Spending (unadjusted for school balances)</t>
  </si>
  <si>
    <t>R13.2</t>
  </si>
  <si>
    <t>R13.1 + Outturn 07-08 TA: 61 to 63 (col f) - 58 to 60 (col f)</t>
  </si>
  <si>
    <t>Total Education Spending (adjusted for school balances)</t>
  </si>
  <si>
    <t>Note 1: Line R5.1 and R13.2 removes any expenditure funded from school balances, and adds in any additions to school balances, to better match with budget and funding.</t>
  </si>
  <si>
    <t>If there are large variances between any of the budget and outturn lines above, in particular the Total Schools Budget and Total Education Budget please provide an explanation.</t>
  </si>
  <si>
    <t xml:space="preserve">R6.3:  The 50% variance is a result of £1.6m of overhead budgets having been apportioned to other services for the S52 budget statement showing on line R6.1 but outturn shows the total </t>
  </si>
  <si>
    <t xml:space="preserve">amount of overheads charged to the holding code for the outturn and is not apportioned across other budgets.  For the budget statement, the overhead budgets were apportioned over </t>
  </si>
  <si>
    <t>lines R7.2 and R7.3.  This will in turn influence the variance on line R7.4.</t>
  </si>
  <si>
    <t>R11.2: CERA budget showing on the Section 52 Budget statement was later amended to zero to reflect the updated position on Council's general ledger.  There should not have</t>
  </si>
  <si>
    <t>been a budget.  This will in turn influence the variance on line R11.3.</t>
  </si>
  <si>
    <t>TABLE A</t>
  </si>
  <si>
    <t>SPENDING BY SCHOOLS</t>
  </si>
  <si>
    <t>Nursery Schools</t>
  </si>
  <si>
    <t>Primary Schools</t>
  </si>
  <si>
    <t>Secondary Schools</t>
  </si>
  <si>
    <t>Special Schools</t>
  </si>
  <si>
    <t>Total</t>
  </si>
  <si>
    <t>Outturn 06-07
Total
(col f)</t>
  </si>
  <si>
    <t>Validation Range (queries on figures which are outside both the percentage and actual limits)</t>
  </si>
  <si>
    <t>Percentage change (%)</t>
  </si>
  <si>
    <t>Absolute Difference</t>
  </si>
  <si>
    <t>£</t>
  </si>
  <si>
    <t>(£)</t>
  </si>
  <si>
    <t>Lower limit</t>
  </si>
  <si>
    <t>Upper Limit</t>
  </si>
  <si>
    <t>EXPENDITURE</t>
  </si>
  <si>
    <t>Teaching staff (E01)</t>
  </si>
  <si>
    <t>Supply teaching staff (E02)</t>
  </si>
  <si>
    <t>TOTAL TEACHING STAFF</t>
  </si>
  <si>
    <t>EDUCATION SUPPORT STAFF (E03)</t>
  </si>
  <si>
    <t>OTHER EMPLOYEE COSTS</t>
  </si>
  <si>
    <t>Premises staff (E04)</t>
  </si>
  <si>
    <t>Administrative &amp; clerical staff (E05)</t>
  </si>
  <si>
    <t>Catering Staff (E06)</t>
  </si>
  <si>
    <t>Cost of other staff (E07)</t>
  </si>
  <si>
    <t>Indirect employee expenses (E08)</t>
  </si>
  <si>
    <t>Development and training (E09)</t>
  </si>
  <si>
    <t>Supply teacher insurance (E10)</t>
  </si>
  <si>
    <t>Staff related insurance (E11)</t>
  </si>
  <si>
    <t>TOTAL OTHER EMPLOYEE COSTS</t>
  </si>
  <si>
    <t>RUNNING EXPENSES</t>
  </si>
  <si>
    <t>Building maintenance and improvement (E12)</t>
  </si>
  <si>
    <t>Grounds maintenance and improvement (E13)</t>
  </si>
  <si>
    <t>Cleaning and caretaking (E14)</t>
  </si>
  <si>
    <t>Water and sewerage (E15)</t>
  </si>
  <si>
    <t>Energy (E16)</t>
  </si>
  <si>
    <t>Rates (E17)</t>
  </si>
  <si>
    <t>Other occupation costs (E18)</t>
  </si>
  <si>
    <t>Learning resources (not ICT) (E19)</t>
  </si>
  <si>
    <t>ICT learning resources (E20)</t>
  </si>
  <si>
    <t>Examination fees (E21)</t>
  </si>
  <si>
    <t>Administrative supplies (E22)</t>
  </si>
  <si>
    <t>Other insurance premiums (E23)</t>
  </si>
  <si>
    <t>Special facilities (E24)</t>
  </si>
  <si>
    <t>Catering supplies (E25)</t>
  </si>
  <si>
    <t>Agency supply teaching staff (E26)</t>
  </si>
  <si>
    <t>Bought-in professional services - curriculum (E27)</t>
  </si>
  <si>
    <t>Bought-in professional services - other (E28)</t>
  </si>
  <si>
    <t>Loan interest (E29)</t>
  </si>
  <si>
    <t>Community focused extended school staff (E31)</t>
  </si>
  <si>
    <t>Community focused extended school costs (E32)</t>
  </si>
  <si>
    <t>TOTAL RUNNING EXPENSES</t>
  </si>
  <si>
    <t>TOTAL GROSS EXPENDITURE</t>
  </si>
  <si>
    <t>FUNDING</t>
  </si>
  <si>
    <t>Funds delegated by the LA (I01)</t>
  </si>
  <si>
    <t>Funding for sixth form students (I02)</t>
  </si>
  <si>
    <t>SEN funding (Not for special schools) (I03)</t>
  </si>
  <si>
    <t>Funding for minority ethnic pupils (I04)</t>
  </si>
  <si>
    <t>Standards Fund (I05)</t>
  </si>
  <si>
    <t>Other government grants (I06)</t>
  </si>
  <si>
    <t>School Standards Grant (SSG) pupil focused (I14)</t>
  </si>
  <si>
    <t>Pupil focused extended school funding and/or grants (I15)</t>
  </si>
  <si>
    <t>Community focused extended school funding and/or grants (I16)</t>
  </si>
  <si>
    <t>TOTAL FUNDING</t>
  </si>
  <si>
    <t>INCOME</t>
  </si>
  <si>
    <t>Other grants and payments (I07)</t>
  </si>
  <si>
    <t>Income from facilities and services (I08)</t>
  </si>
  <si>
    <t>Income from catering (I09)</t>
  </si>
  <si>
    <t>Receipts from supply teacher insurance claims (I10)</t>
  </si>
  <si>
    <t>Receipts from other insurance claims (I11)</t>
  </si>
  <si>
    <t>Income from contributions to visits etc. (I12)</t>
  </si>
  <si>
    <t>Community focused extended school facilities income (I17)</t>
  </si>
  <si>
    <t>Total income NOT including donations and/or voluntary funds</t>
  </si>
  <si>
    <t>Donations and/or voluntary funds (I13)</t>
  </si>
  <si>
    <t>TOTAL INCOME INCLUDING DONATIONS AND/OR VOLUNTARY FUNDS</t>
  </si>
  <si>
    <t>SCHOOLS NET CURRENT EXPENDITURE</t>
  </si>
  <si>
    <t>Capital Expenditure from Revenue - CERA (E30) (Schools)</t>
  </si>
  <si>
    <t>BALANCES</t>
  </si>
  <si>
    <t>Opening balances at 01/04/2007</t>
  </si>
  <si>
    <t>Committed revenue balance (B01)</t>
  </si>
  <si>
    <t>Uncommitted revenue balance (B02)</t>
  </si>
  <si>
    <t>Community focused extended school revenue balance (B06)</t>
  </si>
  <si>
    <t>Closing balances at 31/03/2008</t>
  </si>
  <si>
    <t xml:space="preserve">Teaching staff </t>
  </si>
  <si>
    <t xml:space="preserve">Education support staff </t>
  </si>
  <si>
    <t>Other Employees</t>
  </si>
  <si>
    <t>Running Expenses</t>
  </si>
  <si>
    <t>TOTAL EXPENDITURE</t>
  </si>
  <si>
    <t>Income</t>
  </si>
  <si>
    <t>NET Current Expenditure</t>
  </si>
  <si>
    <t>Govt. Grants Inside AEF excluding Specific Formula Grants</t>
  </si>
  <si>
    <t>Specific Formula Grants</t>
  </si>
  <si>
    <t>Govt. Grants Outside AEF not including LSC</t>
  </si>
  <si>
    <t>Grants from LSC</t>
  </si>
  <si>
    <t>LA NET Revenue Expenditure</t>
  </si>
  <si>
    <t>Inter-authority recoupment included in (j)</t>
  </si>
  <si>
    <t>Inter-authority recoupment included in (l)</t>
  </si>
  <si>
    <t>Capital Expenditure (Excluding CERA)</t>
  </si>
  <si>
    <t>Home to school transport: Nursery</t>
  </si>
  <si>
    <t>Home to school transport: Primary</t>
  </si>
  <si>
    <t>Home to school/college transport: Secondary</t>
  </si>
  <si>
    <t>Home to school/college transport: Special</t>
  </si>
  <si>
    <t>Outturn 06-07
Total Expenditure
(col k)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</si>
  <si>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</si>
  <si>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</si>
  <si>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</si>
  <si>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</si>
  <si>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</si>
  <si>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</si>
  <si>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</si>
  <si>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</si>
  <si>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</si>
  <si>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</si>
  <si>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</si>
  <si>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</si>
  <si>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(r(i))</t>
  </si>
  <si>
    <t>(r(ii))</t>
  </si>
  <si>
    <t>(s)</t>
  </si>
  <si>
    <t>(t)</t>
  </si>
  <si>
    <t>(u)</t>
  </si>
  <si>
    <t>(v)</t>
  </si>
  <si>
    <t>(w)</t>
  </si>
  <si>
    <t>SCHOOLS BUDGET</t>
  </si>
  <si>
    <t>SPENDING BY SCHOOLS (brought forward)</t>
  </si>
  <si>
    <t>Nursery schools</t>
  </si>
  <si>
    <t>TOTAL SCHOOL SPENDING (Excluding CERA line 57)</t>
  </si>
  <si>
    <t>SPENDING BY LA WITHIN THE SCHOOLS BUDGET (EXCLUDING DELEGATED OR DEVOLVED FUNDING)</t>
  </si>
  <si>
    <t>Private/voluntary/independent fees for education for Under 5s (Not NMSS)</t>
  </si>
  <si>
    <t>Independent/Non-Maintained schools fees</t>
  </si>
  <si>
    <t>Education out of school</t>
  </si>
  <si>
    <t>School Meals/Milk</t>
  </si>
  <si>
    <t>Other Support Services : expenditure falling within the definition of the Schools Budget</t>
  </si>
  <si>
    <t>TOTAL SCHOOLS BUDGET (excluding CERA) (lines 68 to 77)</t>
  </si>
  <si>
    <t>Capital Expenditure from Revenue (CERA) (Spending by LA in Schools Budget)</t>
  </si>
  <si>
    <t>SUBTOTAL: CENTRAL EXPENDITURE WITHIN THE SCHOOLS BUDGET (including CERA) (lines 69 to 77 + line 79)</t>
  </si>
  <si>
    <t>TOTAL SCHOOLS BUDGET (including CERA)  (line 68 + line 80 + line 57 col (f))</t>
  </si>
  <si>
    <t>LA BUDGET</t>
  </si>
  <si>
    <t>LA CENTRAL FUNCTIONS</t>
  </si>
  <si>
    <t>Teacher Development</t>
  </si>
  <si>
    <t>HE/FE courses run on behalf of the authority</t>
  </si>
  <si>
    <t>SUB-TOTAL CENTRAL ADMINISTRATION (lines 82 to 85)</t>
  </si>
  <si>
    <t>Other support services: expenditure falling within the definition of the LA budget</t>
  </si>
  <si>
    <t>Home to school transport: SEN transport expenditure</t>
  </si>
  <si>
    <t>Home to school transport: other home to school transport expenditure</t>
  </si>
  <si>
    <t>Home to college transport : SEN transport expenditure</t>
  </si>
  <si>
    <t>Home to college transport : other home to college transport expenditure</t>
  </si>
  <si>
    <t xml:space="preserve">SUB-TOTAL SUPPORT AND ACCESS (lines 87 to 92) </t>
  </si>
  <si>
    <t>SUB-TOTAL LA CENTRAL FUNCTIONS (line 86 + line 93)</t>
  </si>
  <si>
    <t>YOUTH AND COMMUNITY</t>
  </si>
  <si>
    <t>Youth Service</t>
  </si>
  <si>
    <t>Student Support/including Mandatory awards</t>
  </si>
  <si>
    <t>Other Community Services</t>
  </si>
  <si>
    <t>Adult and Community learning</t>
  </si>
  <si>
    <t>SUB-TOTAL YOUTH AND COMMUNITY (lines 95 to 98)</t>
  </si>
  <si>
    <t>TOTAL LA BUDGET (excluding CERA) (line 94 + line 99)</t>
  </si>
  <si>
    <t>TOTAL SPENDING BY LA (exc CERA) (Schools and LA budget) (lines 69 to 77 + line 100)</t>
  </si>
  <si>
    <t xml:space="preserve">Capital Expenditure from Revenue (CERA) (LA) </t>
  </si>
  <si>
    <t>Capital Expenditure from Revenue (CERA) (Youth &amp; Community)</t>
  </si>
  <si>
    <t xml:space="preserve">TOTAL LA BUDGET (including CERA) (line 100 + line 102 + line 103) </t>
  </si>
  <si>
    <t>TOTAL EDUCATION SPENDING (excluding CERA) (lines 78 and 100)</t>
  </si>
  <si>
    <t xml:space="preserve">TOTAL EDUCATION SPENDING (including CERA) (line 81 + line 104) </t>
  </si>
  <si>
    <t>TABLE A NOTES</t>
  </si>
  <si>
    <t>TABLE A WORKING AREA</t>
  </si>
  <si>
    <t>Note that the information you provide in this section will be taken into account when returned to DCSF.</t>
  </si>
  <si>
    <t>This area is provided for your own use. The information you provide in this section will not be taken into account when returned to the DCSF</t>
  </si>
  <si>
    <t>Large variances explained in the notes to the Reconciliation Table.</t>
  </si>
  <si>
    <t>ANNEX TO TABLE A: YOUTH SERVICE</t>
  </si>
  <si>
    <t>YOUTH SERVICE (NET)</t>
  </si>
  <si>
    <t>LA Direct Spend</t>
  </si>
  <si>
    <t>Contracted with Voluntary Organisations</t>
  </si>
  <si>
    <t>Contracted with Other Organisations</t>
  </si>
  <si>
    <t>Voluntary Organisations Grant Aid</t>
  </si>
  <si>
    <t>TOTAL</t>
  </si>
  <si>
    <t>Management</t>
  </si>
  <si>
    <t>Full Time</t>
  </si>
  <si>
    <t>Part Time</t>
  </si>
  <si>
    <t>Youth Workers</t>
  </si>
  <si>
    <t>Support Staff</t>
  </si>
  <si>
    <t>Staff Training</t>
  </si>
  <si>
    <t>Non-Staff Costs</t>
  </si>
  <si>
    <t>Total Running Costs (Table A line 95 column (m) NCE)</t>
  </si>
  <si>
    <t>Capital (Table A, Youth Servive element of line 103 column (m) NCE)</t>
  </si>
  <si>
    <t xml:space="preserve">YOUTH SERVICE TOTAL </t>
  </si>
  <si>
    <t>TABLE B</t>
  </si>
  <si>
    <t>Sorting column for LAs own use</t>
  </si>
  <si>
    <t>School Name</t>
  </si>
  <si>
    <t>DCSF Reference Number</t>
  </si>
  <si>
    <t xml:space="preserve">Opening Pupil Focussed Revenue Balance [OB01]
(2006-07 B01 &amp; B02 carried forward) </t>
  </si>
  <si>
    <t xml:space="preserve">Opening Community Focussed Extended School Revenue Balance [OB02]
(2006-07 B06 carried forward) </t>
  </si>
  <si>
    <t>Planned Budget Share</t>
  </si>
  <si>
    <t>Delegated Funds (Including pupil focussed SSG and LSC funding) [I01, I02 &amp; I14]</t>
  </si>
  <si>
    <t>SEN Funding (including some Standards Fund)  [I03] and Minority Ethnic Pupils [I04]</t>
  </si>
  <si>
    <t>Standards Fund residue (not included in (7)) [I05]</t>
  </si>
  <si>
    <t>Other Government Grants [I06]</t>
  </si>
  <si>
    <t>Income generated by schools (excluding community focussed income) [I07 to I13]</t>
  </si>
  <si>
    <t>Pupil focussed extended school funding and/or grants [I15]</t>
  </si>
  <si>
    <t>Community focussed extended school funding and/or grants [I16]</t>
  </si>
  <si>
    <t>Community focussed extended school facilities income [I17]</t>
  </si>
  <si>
    <t>Total resources available to school (sum of 3 + 4 + (6 to 13))</t>
  </si>
  <si>
    <t xml:space="preserve">School Expenditure (does not include community focussed expenditure, CERA or income) [E01 to E29] </t>
  </si>
  <si>
    <t xml:space="preserve">Community focussed school expenditure (does not include income) [E31 &amp; E32] </t>
  </si>
  <si>
    <t>Capital Expenditure from Revenue - CERA [E30]</t>
  </si>
  <si>
    <t xml:space="preserve">Committed Revenue Balance [B01]  </t>
  </si>
  <si>
    <t>Uncommitted Revenue Balance [B02]</t>
  </si>
  <si>
    <t>Community Focussed Extended School Revenue Balance [B06]</t>
  </si>
  <si>
    <t>NNNN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</si>
  <si>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</si>
  <si>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</si>
  <si>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</si>
  <si>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</si>
  <si>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</si>
  <si>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</si>
  <si>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</si>
  <si>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</si>
  <si>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</si>
  <si>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</si>
  <si>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</si>
  <si>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</si>
  <si>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</si>
  <si>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</si>
  <si>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</si>
  <si>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</si>
  <si>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</si>
  <si>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</si>
  <si>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</si>
  <si>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</si>
  <si>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NURSERY SCHOOLS</t>
  </si>
  <si>
    <t>McMillan Nursery School</t>
  </si>
  <si>
    <t>Total Nursery Schools (21)</t>
  </si>
  <si>
    <t>PRIMARY SCHOOLS</t>
  </si>
  <si>
    <t>Belmore Primary School</t>
  </si>
  <si>
    <t>Bourne Primary School</t>
  </si>
  <si>
    <t>Breakspear Junior School</t>
  </si>
  <si>
    <t>Colham Manor Primary School</t>
  </si>
  <si>
    <t>Coteford Junior School</t>
  </si>
  <si>
    <t>Coteford Infant School</t>
  </si>
  <si>
    <t>Deanesfield Primary School</t>
  </si>
  <si>
    <t>Field End Junior School</t>
  </si>
  <si>
    <t>Field End Infant School</t>
  </si>
  <si>
    <t>Glebe Primary School</t>
  </si>
  <si>
    <t>Harefield Junior School</t>
  </si>
  <si>
    <t>Harefield Infant School</t>
  </si>
  <si>
    <t>Harlyn Primary School</t>
  </si>
  <si>
    <t>Harmondsworth Primary School</t>
  </si>
  <si>
    <t>Heathrow Primary School</t>
  </si>
  <si>
    <t>Lady Bankes Junior School</t>
  </si>
  <si>
    <t>Lady Bankes Infant School</t>
  </si>
  <si>
    <t>Longmead Primary School</t>
  </si>
  <si>
    <t>Minet Junior School</t>
  </si>
  <si>
    <t>Minet Nursery and Infant School</t>
  </si>
  <si>
    <t>Newnham Junior School</t>
  </si>
  <si>
    <t>Newnham Infant and Nursery School</t>
  </si>
  <si>
    <t>Ryefield Primary School</t>
  </si>
  <si>
    <t>West Drayton Primary School</t>
  </si>
  <si>
    <t>Whitehall Junior School</t>
  </si>
  <si>
    <t>Whiteheath Junior School</t>
  </si>
  <si>
    <t>William Byrd School</t>
  </si>
  <si>
    <t>Yeading Junior School</t>
  </si>
  <si>
    <t>Yeading Infant and Nursery School</t>
  </si>
  <si>
    <t>Hermitage Primary School</t>
  </si>
  <si>
    <t>Brookside Primary School</t>
  </si>
  <si>
    <t>Highfield Primary School</t>
  </si>
  <si>
    <t>Rabbsfarm Primary School</t>
  </si>
  <si>
    <t>Warrender Primary School</t>
  </si>
  <si>
    <t>Breakspear Infant and Nursery School</t>
  </si>
  <si>
    <t>Whitehall Infant School</t>
  </si>
  <si>
    <t>Whiteheath Infant and Nursery School</t>
  </si>
  <si>
    <t>Frithwood Primary School</t>
  </si>
  <si>
    <t>Cranford Park Primary School</t>
  </si>
  <si>
    <t>Ruislip Gardens Primary School</t>
  </si>
  <si>
    <t>Hillingdon Primary School</t>
  </si>
  <si>
    <t>Wood End Park Community School</t>
  </si>
  <si>
    <t>Pinkwell Primary School</t>
  </si>
  <si>
    <t>Cherry Lane Primary School</t>
  </si>
  <si>
    <t>Bishop Winnington-Ingram CofE Primary School</t>
  </si>
  <si>
    <t>Holy Trinity CofE Primary School</t>
  </si>
  <si>
    <t>St Matthew's CofE Primary School</t>
  </si>
  <si>
    <t>Dr Triplett's CofE Primary School</t>
  </si>
  <si>
    <t>St Swithun Wells Catholic Primary School</t>
  </si>
  <si>
    <t>Botwell House Catholic Primary School</t>
  </si>
  <si>
    <t>St Bernadette Catholic Primary School</t>
  </si>
  <si>
    <t>St Catherine Catholic Primary School</t>
  </si>
  <si>
    <t>St Mary's Catholic Primary School</t>
  </si>
  <si>
    <t>Sacred Heart Catholic Primary School</t>
  </si>
  <si>
    <t>Guru Nanak Sikh Primary School</t>
  </si>
  <si>
    <t>Cowley St Laurence CE Primary School</t>
  </si>
  <si>
    <t>Oak Farm Infant School</t>
  </si>
  <si>
    <t>Oak Farm Junior School</t>
  </si>
  <si>
    <t>Grange Park Junior School</t>
  </si>
  <si>
    <t>Grange Park Infant and Nursery School</t>
  </si>
  <si>
    <t>Hillside Infant School</t>
  </si>
  <si>
    <t>Hillside Junior School</t>
  </si>
  <si>
    <t>Charville Primary School</t>
  </si>
  <si>
    <t>St Andrew's CofE Primary School</t>
  </si>
  <si>
    <t>Hayes Park School</t>
  </si>
  <si>
    <t>Middle Deemed</t>
  </si>
  <si>
    <t>Total Primary Schools (22)</t>
  </si>
  <si>
    <t>SECONDARY SCHOOLS</t>
  </si>
  <si>
    <t>Ruislip High School</t>
  </si>
  <si>
    <t>Bishop Ramsey CofE Voluntary Aided Secondary School</t>
  </si>
  <si>
    <t>Guru Nanak Sikh Voluntary Aided Secondary School</t>
  </si>
  <si>
    <t>Bishopshalt School</t>
  </si>
  <si>
    <t>Haydon School</t>
  </si>
  <si>
    <t>Vyners School</t>
  </si>
  <si>
    <t>Queensmead School</t>
  </si>
  <si>
    <t>Uxbridge High School</t>
  </si>
  <si>
    <t>Northwood School</t>
  </si>
  <si>
    <t>Rosedale College</t>
  </si>
  <si>
    <t>Mellow Lane School</t>
  </si>
  <si>
    <t>The Douay Martyrs Catholic School</t>
  </si>
  <si>
    <t>Abbotsfield School</t>
  </si>
  <si>
    <t>Swakeleys School</t>
  </si>
  <si>
    <t>Harlington Community School</t>
  </si>
  <si>
    <t>Barnhill Community High School</t>
  </si>
  <si>
    <t>Total Secondary Schools (23)</t>
  </si>
  <si>
    <t>SPECIAL SCHOOLS</t>
  </si>
  <si>
    <t>Chantry School</t>
  </si>
  <si>
    <t>The Willows School</t>
  </si>
  <si>
    <t>Meadow High School</t>
  </si>
  <si>
    <t>Hedgewood School</t>
  </si>
  <si>
    <t>Moorcroft School</t>
  </si>
  <si>
    <t>Grangewood School</t>
  </si>
  <si>
    <t>Total Special Schools (24)</t>
  </si>
  <si>
    <t>TOTALS FOR ALL SCHOOLS (25)</t>
  </si>
  <si>
    <t>TABLE B NOTES</t>
  </si>
  <si>
    <t>TABLE B WORKING AREA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</si>
</sst>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</numFmts>
  <fonts count="12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/>
    </xf>
    <xf numFmtId="0" fontId="3" fillId="0" borderId="5" xfId="19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/>
      <protection/>
    </xf>
    <xf numFmtId="14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7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left"/>
      <protection/>
    </xf>
    <xf numFmtId="0" fontId="6" fillId="4" borderId="6" xfId="0" applyFont="1" applyFill="1" applyBorder="1" applyAlignment="1" applyProtection="1">
      <alignment horizontal="left"/>
      <protection/>
    </xf>
    <xf numFmtId="0" fontId="6" fillId="4" borderId="7" xfId="0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/>
      <protection/>
    </xf>
    <xf numFmtId="0" fontId="2" fillId="5" borderId="6" xfId="0" applyFont="1" applyFill="1" applyBorder="1" applyAlignment="1" applyProtection="1">
      <alignment/>
      <protection/>
    </xf>
    <xf numFmtId="0" fontId="2" fillId="5" borderId="7" xfId="0" applyFont="1" applyFill="1" applyBorder="1" applyAlignment="1" applyProtection="1">
      <alignment/>
      <protection/>
    </xf>
    <xf numFmtId="0" fontId="6" fillId="5" borderId="5" xfId="0" applyFont="1" applyFill="1" applyBorder="1" applyAlignment="1" applyProtection="1">
      <alignment horizontal="left"/>
      <protection/>
    </xf>
    <xf numFmtId="0" fontId="6" fillId="5" borderId="6" xfId="0" applyFont="1" applyFill="1" applyBorder="1" applyAlignment="1" applyProtection="1">
      <alignment horizontal="left"/>
      <protection/>
    </xf>
    <xf numFmtId="0" fontId="6" fillId="5" borderId="7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6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6" borderId="5" xfId="0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/>
    </xf>
    <xf numFmtId="0" fontId="1" fillId="7" borderId="1" xfId="0" applyFont="1" applyFill="1" applyBorder="1" applyAlignment="1" applyProtection="1">
      <alignment/>
      <protection/>
    </xf>
    <xf numFmtId="0" fontId="1" fillId="7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wrapText="1"/>
      <protection/>
    </xf>
    <xf numFmtId="0" fontId="2" fillId="0" borderId="6" xfId="0" applyFont="1" applyFill="1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5" xfId="0" applyFont="1" applyBorder="1" applyAlignment="1" applyProtection="1">
      <alignment vertical="center" wrapText="1"/>
      <protection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0" fillId="0" borderId="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3" fillId="0" borderId="5" xfId="19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5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" fillId="0" borderId="15" xfId="19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19" applyFont="1" applyFill="1" applyBorder="1" applyAlignment="1" applyProtection="1">
      <alignment/>
      <protection/>
    </xf>
    <xf numFmtId="0" fontId="8" fillId="0" borderId="19" xfId="19" applyFont="1" applyFill="1" applyBorder="1" applyAlignment="1" applyProtection="1">
      <alignment/>
      <protection/>
    </xf>
    <xf numFmtId="0" fontId="1" fillId="0" borderId="20" xfId="19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4" fontId="1" fillId="0" borderId="21" xfId="0" applyNumberFormat="1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9" fontId="1" fillId="0" borderId="1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64" fontId="1" fillId="0" borderId="21" xfId="0" applyNumberFormat="1" applyFont="1" applyBorder="1" applyAlignment="1" applyProtection="1">
      <alignment vertical="center"/>
      <protection locked="0"/>
    </xf>
    <xf numFmtId="164" fontId="1" fillId="0" borderId="21" xfId="0" applyNumberFormat="1" applyFont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left" vertical="top"/>
      <protection/>
    </xf>
    <xf numFmtId="0" fontId="0" fillId="0" borderId="2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 wrapText="1"/>
      <protection/>
    </xf>
    <xf numFmtId="164" fontId="1" fillId="0" borderId="21" xfId="0" applyNumberFormat="1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165" fontId="1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164" fontId="1" fillId="0" borderId="6" xfId="0" applyNumberFormat="1" applyFont="1" applyBorder="1" applyAlignment="1" applyProtection="1">
      <alignment/>
      <protection/>
    </xf>
    <xf numFmtId="0" fontId="0" fillId="0" borderId="8" xfId="0" applyFont="1" applyFill="1" applyBorder="1" applyAlignment="1" applyProtection="1">
      <alignment horizontal="center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 quotePrefix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vertical="top" wrapText="1"/>
      <protection/>
    </xf>
    <xf numFmtId="164" fontId="1" fillId="0" borderId="25" xfId="0" applyNumberFormat="1" applyFont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3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3" fillId="0" borderId="5" xfId="19" applyNumberFormat="1" applyFont="1" applyFill="1" applyBorder="1" applyAlignment="1" applyProtection="1">
      <alignment/>
      <protection locked="0"/>
    </xf>
    <xf numFmtId="0" fontId="2" fillId="0" borderId="6" xfId="0" applyNumberFormat="1" applyFont="1" applyFill="1" applyBorder="1" applyAlignment="1" applyProtection="1">
      <alignment/>
      <protection locked="0"/>
    </xf>
    <xf numFmtId="0" fontId="2" fillId="0" borderId="7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2" fillId="0" borderId="5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2" fillId="0" borderId="7" xfId="0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3" xfId="0" applyFont="1" applyFill="1" applyBorder="1" applyAlignment="1" applyProtection="1">
      <alignment horizontal="left" wrapText="1"/>
      <protection/>
    </xf>
    <xf numFmtId="0" fontId="0" fillId="8" borderId="21" xfId="0" applyFont="1" applyFill="1" applyBorder="1" applyAlignment="1" applyProtection="1">
      <alignment horizontal="right" wrapText="1"/>
      <protection/>
    </xf>
    <xf numFmtId="0" fontId="2" fillId="0" borderId="27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164" fontId="2" fillId="0" borderId="27" xfId="0" applyNumberFormat="1" applyFont="1" applyFill="1" applyBorder="1" applyAlignment="1" applyProtection="1" quotePrefix="1">
      <alignment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 quotePrefix="1">
      <alignment vertical="center" wrapText="1"/>
      <protection/>
    </xf>
    <xf numFmtId="164" fontId="2" fillId="0" borderId="21" xfId="0" applyNumberFormat="1" applyFont="1" applyFill="1" applyBorder="1" applyAlignment="1" applyProtection="1">
      <alignment vertical="center" wrapText="1"/>
      <protection/>
    </xf>
    <xf numFmtId="164" fontId="2" fillId="0" borderId="27" xfId="0" applyNumberFormat="1" applyFont="1" applyFill="1" applyBorder="1" applyAlignment="1" applyProtection="1">
      <alignment vertical="center" wrapText="1"/>
      <protection locked="0"/>
    </xf>
    <xf numFmtId="0" fontId="0" fillId="8" borderId="27" xfId="0" applyFont="1" applyFill="1" applyBorder="1" applyAlignment="1" applyProtection="1">
      <alignment horizontal="right" wrapText="1"/>
      <protection/>
    </xf>
    <xf numFmtId="0" fontId="0" fillId="8" borderId="28" xfId="0" applyFont="1" applyFill="1" applyBorder="1" applyAlignment="1" applyProtection="1">
      <alignment horizontal="right" wrapText="1"/>
      <protection/>
    </xf>
    <xf numFmtId="0" fontId="0" fillId="8" borderId="23" xfId="0" applyFont="1" applyFill="1" applyBorder="1" applyAlignment="1" applyProtection="1">
      <alignment horizontal="right" wrapText="1"/>
      <protection/>
    </xf>
    <xf numFmtId="0" fontId="5" fillId="0" borderId="29" xfId="0" applyFont="1" applyFill="1" applyBorder="1" applyAlignment="1" applyProtection="1">
      <alignment horizontal="left" wrapText="1"/>
      <protection/>
    </xf>
    <xf numFmtId="0" fontId="5" fillId="0" borderId="30" xfId="0" applyFont="1" applyFill="1" applyBorder="1" applyAlignment="1" applyProtection="1">
      <alignment horizontal="left" wrapText="1"/>
      <protection/>
    </xf>
    <xf numFmtId="164" fontId="2" fillId="0" borderId="29" xfId="0" applyNumberFormat="1" applyFont="1" applyFill="1" applyBorder="1" applyAlignment="1" applyProtection="1" quotePrefix="1">
      <alignment vertical="center" wrapText="1"/>
      <protection locked="0"/>
    </xf>
    <xf numFmtId="164" fontId="2" fillId="0" borderId="30" xfId="0" applyNumberFormat="1" applyFont="1" applyFill="1" applyBorder="1" applyAlignment="1" applyProtection="1">
      <alignment vertical="center" wrapText="1"/>
      <protection locked="0"/>
    </xf>
    <xf numFmtId="0" fontId="0" fillId="8" borderId="31" xfId="0" applyFont="1" applyFill="1" applyBorder="1" applyAlignment="1" applyProtection="1">
      <alignment horizontal="right" wrapText="1"/>
      <protection/>
    </xf>
    <xf numFmtId="164" fontId="2" fillId="0" borderId="31" xfId="0" applyNumberFormat="1" applyFont="1" applyFill="1" applyBorder="1" applyAlignment="1" applyProtection="1" quotePrefix="1">
      <alignment vertical="center" wrapText="1"/>
      <protection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164" fontId="2" fillId="0" borderId="32" xfId="0" applyNumberFormat="1" applyFont="1" applyFill="1" applyBorder="1" applyAlignment="1" applyProtection="1" quotePrefix="1">
      <alignment vertical="center" wrapText="1"/>
      <protection/>
    </xf>
    <xf numFmtId="164" fontId="2" fillId="0" borderId="33" xfId="0" applyNumberFormat="1" applyFont="1" applyFill="1" applyBorder="1" applyAlignment="1" applyProtection="1">
      <alignment vertical="center" wrapText="1"/>
      <protection/>
    </xf>
    <xf numFmtId="164" fontId="2" fillId="0" borderId="32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164" fontId="2" fillId="0" borderId="34" xfId="0" applyNumberFormat="1" applyFont="1" applyFill="1" applyBorder="1" applyAlignment="1" applyProtection="1" quotePrefix="1">
      <alignment vertical="center" wrapText="1"/>
      <protection/>
    </xf>
    <xf numFmtId="164" fontId="2" fillId="0" borderId="35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164" fontId="2" fillId="0" borderId="36" xfId="0" applyNumberFormat="1" applyFont="1" applyFill="1" applyBorder="1" applyAlignment="1" applyProtection="1" quotePrefix="1">
      <alignment vertical="center" wrapText="1"/>
      <protection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0" fontId="5" fillId="0" borderId="38" xfId="0" applyFont="1" applyFill="1" applyBorder="1" applyAlignment="1" applyProtection="1">
      <alignment horizontal="left" wrapText="1"/>
      <protection/>
    </xf>
    <xf numFmtId="0" fontId="5" fillId="0" borderId="39" xfId="0" applyFont="1" applyFill="1" applyBorder="1" applyAlignment="1" applyProtection="1">
      <alignment horizontal="left" wrapText="1"/>
      <protection/>
    </xf>
    <xf numFmtId="164" fontId="2" fillId="0" borderId="40" xfId="0" applyNumberFormat="1" applyFont="1" applyFill="1" applyBorder="1" applyAlignment="1" applyProtection="1">
      <alignment vertical="center" wrapText="1"/>
      <protection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42" xfId="0" applyNumberFormat="1" applyFont="1" applyFill="1" applyBorder="1" applyAlignment="1" applyProtection="1" quotePrefix="1">
      <alignment vertical="center" wrapText="1"/>
      <protection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9" fontId="3" fillId="0" borderId="5" xfId="19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 applyProtection="1">
      <alignment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64" fontId="1" fillId="0" borderId="7" xfId="0" applyNumberFormat="1" applyFont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64" fontId="1" fillId="0" borderId="25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Fininfo\Section%20251\Section%2052%20Outturn%20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mit Data"/>
      <sheetName val="Reconciliation Table"/>
      <sheetName val="Table A"/>
      <sheetName val="YS Annex"/>
      <sheetName val="Table B"/>
      <sheetName val="Error Codes"/>
    </sheetNames>
    <sheetDataSet>
      <sheetData sheetId="2">
        <row r="86">
          <cell r="G86">
            <v>594211.01</v>
          </cell>
        </row>
        <row r="92">
          <cell r="G92">
            <v>1992373.6700878693</v>
          </cell>
        </row>
        <row r="93">
          <cell r="G93">
            <v>11545540.002834499</v>
          </cell>
        </row>
        <row r="94">
          <cell r="G94">
            <v>239009.94</v>
          </cell>
        </row>
        <row r="98">
          <cell r="G98">
            <v>3460685.11</v>
          </cell>
        </row>
        <row r="99">
          <cell r="G99">
            <v>8654133.62</v>
          </cell>
        </row>
        <row r="100">
          <cell r="G100">
            <v>394108.48</v>
          </cell>
        </row>
        <row r="112">
          <cell r="O112">
            <v>149287418.48000002</v>
          </cell>
        </row>
        <row r="130">
          <cell r="O130">
            <v>11436112.049999997</v>
          </cell>
        </row>
        <row r="132">
          <cell r="O132">
            <v>161317741.54</v>
          </cell>
        </row>
        <row r="138">
          <cell r="O138">
            <v>3854664.6700000004</v>
          </cell>
        </row>
        <row r="139">
          <cell r="O139">
            <v>0.4299999999930151</v>
          </cell>
        </row>
        <row r="140">
          <cell r="O140">
            <v>-0.4299999999930151</v>
          </cell>
        </row>
        <row r="141">
          <cell r="O141">
            <v>982601.03</v>
          </cell>
        </row>
        <row r="146">
          <cell r="O146">
            <v>499443.03</v>
          </cell>
        </row>
        <row r="147">
          <cell r="O147">
            <v>3197285.8000000007</v>
          </cell>
        </row>
        <row r="148">
          <cell r="O148">
            <v>3824665.9500000007</v>
          </cell>
        </row>
        <row r="149">
          <cell r="O149">
            <v>151037.59</v>
          </cell>
        </row>
        <row r="150">
          <cell r="O150">
            <v>0</v>
          </cell>
        </row>
        <row r="151">
          <cell r="O151">
            <v>0</v>
          </cell>
        </row>
        <row r="162">
          <cell r="O162">
            <v>1960742.0499999998</v>
          </cell>
        </row>
        <row r="168">
          <cell r="I168">
            <v>0</v>
          </cell>
        </row>
        <row r="169">
          <cell r="I169">
            <v>0</v>
          </cell>
        </row>
        <row r="175">
          <cell r="O175">
            <v>175788181.66</v>
          </cell>
        </row>
      </sheetData>
      <sheetData sheetId="4">
        <row r="14">
          <cell r="E14">
            <v>4254.45</v>
          </cell>
          <cell r="I14">
            <v>5874</v>
          </cell>
          <cell r="J14">
            <v>178526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23846.32</v>
          </cell>
          <cell r="U14">
            <v>4254.45</v>
          </cell>
        </row>
        <row r="86">
          <cell r="E86">
            <v>0</v>
          </cell>
          <cell r="I86">
            <v>4446624.57</v>
          </cell>
          <cell r="J86">
            <v>35737.58</v>
          </cell>
          <cell r="L86">
            <v>170131.26</v>
          </cell>
          <cell r="M86">
            <v>20568.35</v>
          </cell>
          <cell r="N86">
            <v>6700</v>
          </cell>
          <cell r="R86">
            <v>183806.05</v>
          </cell>
          <cell r="S86">
            <v>1433256.3800000001</v>
          </cell>
          <cell r="T86">
            <v>6251935.97</v>
          </cell>
          <cell r="U86">
            <v>15778.35</v>
          </cell>
        </row>
        <row r="109">
          <cell r="E109">
            <v>137356.11</v>
          </cell>
          <cell r="I109">
            <v>6440854.21</v>
          </cell>
          <cell r="J109">
            <v>296309.9</v>
          </cell>
          <cell r="L109">
            <v>34708</v>
          </cell>
          <cell r="M109">
            <v>524025.35</v>
          </cell>
          <cell r="N109">
            <v>177628.85</v>
          </cell>
          <cell r="R109">
            <v>335134.95999999996</v>
          </cell>
          <cell r="S109">
            <v>1916297.8499999999</v>
          </cell>
          <cell r="T109">
            <v>1830334.38</v>
          </cell>
          <cell r="U109">
            <v>406679.26999999996</v>
          </cell>
        </row>
        <row r="119">
          <cell r="E119">
            <v>97399.38</v>
          </cell>
          <cell r="I119">
            <v>363026</v>
          </cell>
          <cell r="J119">
            <v>0</v>
          </cell>
          <cell r="L119">
            <v>45598</v>
          </cell>
          <cell r="M119">
            <v>18000</v>
          </cell>
          <cell r="N119">
            <v>544</v>
          </cell>
          <cell r="R119">
            <v>75270</v>
          </cell>
          <cell r="S119">
            <v>111130.88</v>
          </cell>
          <cell r="T119">
            <v>548016.9500000001</v>
          </cell>
          <cell r="U119">
            <v>-32603.589999999997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30.140625" style="1" customWidth="1"/>
    <col min="3" max="5" width="9.140625" style="1" customWidth="1"/>
    <col min="6" max="6" width="14.8515625" style="1" customWidth="1"/>
    <col min="7" max="7" width="9.7109375" style="1" customWidth="1"/>
    <col min="8" max="8" width="18.8515625" style="1" customWidth="1"/>
    <col min="9" max="9" width="8.28125" style="1" customWidth="1"/>
    <col min="10" max="13" width="13.8515625" style="1" customWidth="1"/>
    <col min="14" max="15" width="9.140625" style="1" customWidth="1"/>
    <col min="16" max="16" width="15.140625" style="1" customWidth="1"/>
    <col min="17" max="17" width="18.140625" style="1" customWidth="1"/>
    <col min="18" max="22" width="9.140625" style="1" customWidth="1"/>
    <col min="23" max="23" width="15.140625" style="1" customWidth="1"/>
    <col min="24" max="24" width="9.140625" style="1" customWidth="1"/>
    <col min="25" max="25" width="12.7109375" style="1" customWidth="1"/>
    <col min="26" max="26" width="12.28125" style="1" customWidth="1"/>
    <col min="27" max="28" width="9.00390625" style="1" customWidth="1"/>
    <col min="29" max="29" width="0" style="1" hidden="1" customWidth="1"/>
    <col min="30" max="16384" width="9.140625" style="1" customWidth="1"/>
  </cols>
  <sheetData>
    <row r="1" ht="13.5" customHeight="1">
      <c r="AC1" s="2">
        <f>IF(ISERROR(SUM(AC3:AC77)),1,SUM(AC3:AC77))</f>
        <v>1</v>
      </c>
    </row>
    <row r="2" spans="1:29" ht="12.75">
      <c r="A2" s="3" t="s">
        <v>0</v>
      </c>
      <c r="B2" s="4"/>
      <c r="C2" s="5"/>
      <c r="E2" s="6" t="s">
        <v>1</v>
      </c>
      <c r="F2" s="7" t="s">
        <v>2</v>
      </c>
      <c r="G2" s="8"/>
      <c r="H2" s="8"/>
      <c r="I2" s="8"/>
      <c r="J2" s="9"/>
      <c r="K2" s="10" t="s">
        <v>3</v>
      </c>
      <c r="L2" s="7">
        <v>312</v>
      </c>
      <c r="M2" s="9"/>
      <c r="P2" s="11" t="str">
        <f>A2</f>
        <v>S52 EDUCATION OUTTURN STATEMENT </v>
      </c>
      <c r="Q2" s="12"/>
      <c r="R2" s="13"/>
      <c r="T2" s="14" t="str">
        <f>E2</f>
        <v>LA Name</v>
      </c>
      <c r="U2" s="15"/>
      <c r="V2" s="15"/>
      <c r="W2" s="15"/>
      <c r="X2" s="15"/>
      <c r="Y2" s="15"/>
      <c r="Z2" s="14" t="str">
        <f>K2</f>
        <v>LEA No.</v>
      </c>
      <c r="AA2" s="15"/>
      <c r="AB2" s="15"/>
      <c r="AC2" s="16"/>
    </row>
    <row r="3" spans="1:29" ht="12.75">
      <c r="A3" s="17" t="s">
        <v>4</v>
      </c>
      <c r="B3" s="18"/>
      <c r="C3" s="19"/>
      <c r="E3" s="6"/>
      <c r="F3" s="20"/>
      <c r="G3" s="21"/>
      <c r="H3" s="22"/>
      <c r="I3" s="23"/>
      <c r="J3" s="24"/>
      <c r="K3" s="21"/>
      <c r="L3" s="21"/>
      <c r="M3" s="22"/>
      <c r="P3" s="25" t="str">
        <f>A3</f>
        <v>Year 2007-2008</v>
      </c>
      <c r="Q3" s="26"/>
      <c r="R3" s="27"/>
      <c r="T3" s="14">
        <f>E3</f>
        <v>0</v>
      </c>
      <c r="U3" s="28" t="e">
        <f>IF(AND(F3="",#REF!&lt;&gt;"*"),"",IF(AND(F3="",#REF!="*"),"Error H1",""))</f>
        <v>#REF!</v>
      </c>
      <c r="V3" s="28"/>
      <c r="W3" s="28"/>
      <c r="X3" s="14">
        <f>I3</f>
        <v>0</v>
      </c>
      <c r="Y3" s="28" t="e">
        <f>IF(AND(J3="",#REF!&lt;&gt;"*"),"",IF(AND(J3="",#REF!="*"),"Error H3",IF(ISERROR(FIND("@",J3,1)),"Error H3","")))</f>
        <v>#REF!</v>
      </c>
      <c r="Z3" s="28"/>
      <c r="AA3" s="28"/>
      <c r="AB3" s="28"/>
      <c r="AC3" s="29" t="e">
        <f>IF(LEN(TRIM(U3&amp;Y3))&gt;0,1,0)</f>
        <v>#REF!</v>
      </c>
    </row>
    <row r="4" spans="1:29" ht="12.75" customHeight="1">
      <c r="A4" s="30" t="s">
        <v>5</v>
      </c>
      <c r="B4" s="31"/>
      <c r="C4" s="32"/>
      <c r="E4" s="6"/>
      <c r="F4" s="33"/>
      <c r="G4" s="34"/>
      <c r="H4" s="35"/>
      <c r="I4" s="6"/>
      <c r="J4" s="36"/>
      <c r="K4" s="37"/>
      <c r="L4" s="38"/>
      <c r="M4" s="39"/>
      <c r="P4" s="30" t="str">
        <f>A4</f>
        <v>SUMMARY TABLE - RECONCILIATION OF THE DEDICATED SCHOOLS GRANT/BUDGET AND OUTTURN SPEND</v>
      </c>
      <c r="Q4" s="31"/>
      <c r="R4" s="32"/>
      <c r="T4" s="14">
        <f>E4</f>
        <v>0</v>
      </c>
      <c r="U4" s="28" t="e">
        <f>IF(AND(F4="",#REF!&lt;&gt;"*"),"",IF(AND(F4="",#REF!="*"),"Error H2",IF(AND(F4&lt;&gt;"",ISNUMBER(VALUE(LEFT(F4,1)))=FALSE),"Error H2","")))</f>
        <v>#REF!</v>
      </c>
      <c r="V4" s="28"/>
      <c r="W4" s="28"/>
      <c r="X4" s="14">
        <f>I4</f>
        <v>0</v>
      </c>
      <c r="Y4" s="40" t="e">
        <f>IF(AND(J4="",#REF!&lt;&gt;"*"),"",IF(AND(J4="",#REF!="*"),"Warning H1",""))</f>
        <v>#REF!</v>
      </c>
      <c r="Z4" s="14">
        <f>K4</f>
        <v>0</v>
      </c>
      <c r="AA4" s="28" t="e">
        <f ca="1">IF(AND(L4="",#REF!&lt;&gt;"*"),"",IF(AND(L4="",#REF!="*"),"Warning H2",IF(ISERROR(DAYS360(L4,TODAY())),"Warning H2",IF(L4&gt;TODAY(),"Warning H2",""))))</f>
        <v>#REF!</v>
      </c>
      <c r="AB4" s="28"/>
      <c r="AC4" s="29" t="e">
        <f>IF(LEN(TRIM(U4&amp;Y4&amp;AA4))&gt;0,1,0)</f>
        <v>#REF!</v>
      </c>
    </row>
    <row r="5" spans="1:29" ht="12.75" customHeight="1" thickBot="1">
      <c r="A5" s="41"/>
      <c r="B5" s="42"/>
      <c r="C5" s="43"/>
      <c r="D5" s="44"/>
      <c r="E5" s="45"/>
      <c r="F5" s="45"/>
      <c r="G5" s="45"/>
      <c r="H5" s="44"/>
      <c r="I5" s="46"/>
      <c r="J5" s="47"/>
      <c r="K5" s="48"/>
      <c r="L5" s="49"/>
      <c r="P5" s="41"/>
      <c r="Q5" s="42"/>
      <c r="R5" s="43"/>
      <c r="AC5" s="50"/>
    </row>
    <row r="6" ht="12.75">
      <c r="AC6" s="51"/>
    </row>
    <row r="7" spans="2:29" ht="12.75">
      <c r="B7" s="52" t="s">
        <v>6</v>
      </c>
      <c r="C7" s="53"/>
      <c r="D7" s="53"/>
      <c r="E7" s="53"/>
      <c r="F7" s="53"/>
      <c r="G7" s="53"/>
      <c r="H7" s="53"/>
      <c r="I7" s="54"/>
      <c r="J7" s="55" t="s">
        <v>7</v>
      </c>
      <c r="K7" s="55" t="s">
        <v>8</v>
      </c>
      <c r="L7" s="55" t="s">
        <v>9</v>
      </c>
      <c r="M7" s="55" t="s">
        <v>10</v>
      </c>
      <c r="Q7" s="56" t="str">
        <f>B7</f>
        <v>Comparable s52 Line Reference</v>
      </c>
      <c r="R7" s="56"/>
      <c r="S7" s="56"/>
      <c r="T7" s="56"/>
      <c r="U7" s="56"/>
      <c r="V7" s="56"/>
      <c r="W7" s="56"/>
      <c r="X7" s="56"/>
      <c r="Y7" s="57" t="str">
        <f>J7</f>
        <v>Budget 2007-08
(net)
£</v>
      </c>
      <c r="Z7" s="57" t="str">
        <f>K7</f>
        <v>Outturn 2007-08
(LA NRE)
£</v>
      </c>
      <c r="AA7" s="57" t="str">
        <f>L7</f>
        <v>Variance
£</v>
      </c>
      <c r="AB7" s="57" t="str">
        <f>M7</f>
        <v>Variance
%</v>
      </c>
      <c r="AC7" s="51"/>
    </row>
    <row r="8" spans="1:29" ht="24">
      <c r="A8" s="58" t="s">
        <v>11</v>
      </c>
      <c r="B8" s="59" t="s">
        <v>12</v>
      </c>
      <c r="C8" s="60"/>
      <c r="D8" s="60"/>
      <c r="E8" s="61"/>
      <c r="F8" s="62" t="s">
        <v>13</v>
      </c>
      <c r="G8" s="63"/>
      <c r="H8" s="63"/>
      <c r="I8" s="64"/>
      <c r="J8" s="65"/>
      <c r="K8" s="65"/>
      <c r="L8" s="65"/>
      <c r="M8" s="65"/>
      <c r="P8" s="66" t="str">
        <f>A8</f>
        <v>Reconciliation Line Ref</v>
      </c>
      <c r="Q8" s="67" t="str">
        <f>B8</f>
        <v>Budget (net)</v>
      </c>
      <c r="R8" s="67"/>
      <c r="S8" s="67"/>
      <c r="T8" s="67"/>
      <c r="U8" s="67" t="str">
        <f>F8</f>
        <v>Outturn (LA Net Revenue Expenditure - column r)</v>
      </c>
      <c r="V8" s="67"/>
      <c r="W8" s="67"/>
      <c r="X8" s="67"/>
      <c r="Y8" s="68"/>
      <c r="Z8" s="68"/>
      <c r="AA8" s="68"/>
      <c r="AB8" s="68"/>
      <c r="AC8" s="69"/>
    </row>
    <row r="9" spans="1:29" ht="12.75">
      <c r="A9" s="70"/>
      <c r="B9" s="71" t="s">
        <v>14</v>
      </c>
      <c r="C9" s="72"/>
      <c r="D9" s="72"/>
      <c r="E9" s="73"/>
      <c r="F9" s="74" t="s">
        <v>15</v>
      </c>
      <c r="G9" s="75"/>
      <c r="H9" s="75"/>
      <c r="I9" s="76"/>
      <c r="J9" s="77" t="s">
        <v>16</v>
      </c>
      <c r="K9" s="77" t="s">
        <v>17</v>
      </c>
      <c r="L9" s="77" t="s">
        <v>18</v>
      </c>
      <c r="M9" s="77" t="s">
        <v>19</v>
      </c>
      <c r="Q9" s="56" t="str">
        <f>B9</f>
        <v>(a)</v>
      </c>
      <c r="R9" s="56"/>
      <c r="S9" s="56"/>
      <c r="T9" s="56"/>
      <c r="U9" s="56" t="str">
        <f>F9</f>
        <v>(b)</v>
      </c>
      <c r="V9" s="56"/>
      <c r="W9" s="56"/>
      <c r="X9" s="56"/>
      <c r="Y9" s="78" t="str">
        <f>J9</f>
        <v>(c)</v>
      </c>
      <c r="Z9" s="78" t="str">
        <f>K9</f>
        <v>(d)</v>
      </c>
      <c r="AA9" s="78" t="str">
        <f>L9</f>
        <v>(e)</v>
      </c>
      <c r="AB9" s="78" t="str">
        <f>M9</f>
        <v>(f)</v>
      </c>
      <c r="AC9" s="69"/>
    </row>
    <row r="10" ht="12.75">
      <c r="AC10" s="69"/>
    </row>
    <row r="11" spans="1:29" ht="12.75">
      <c r="A11" s="79" t="s">
        <v>20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P11" s="82" t="str">
        <f>A11</f>
        <v>Schools Budget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69"/>
    </row>
    <row r="12" ht="12.75">
      <c r="AC12" s="69"/>
    </row>
    <row r="13" spans="2:29" ht="12.75">
      <c r="B13" s="85" t="s">
        <v>21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  <c r="Q13" s="82" t="str">
        <f>B13</f>
        <v>Dedicated Schools Grant</v>
      </c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88"/>
    </row>
    <row r="14" spans="1:29" ht="12.75">
      <c r="A14" s="89" t="s">
        <v>22</v>
      </c>
      <c r="B14" s="90" t="s">
        <v>23</v>
      </c>
      <c r="C14" s="91"/>
      <c r="D14" s="91"/>
      <c r="E14" s="92"/>
      <c r="F14" s="93"/>
      <c r="G14" s="94"/>
      <c r="H14" s="93"/>
      <c r="I14" s="94"/>
      <c r="J14" s="95">
        <v>158450188</v>
      </c>
      <c r="K14" s="96"/>
      <c r="L14" s="96"/>
      <c r="M14" s="96"/>
      <c r="P14" s="97" t="str">
        <f>A14</f>
        <v>R1.1</v>
      </c>
      <c r="Q14" s="98" t="str">
        <f>B14</f>
        <v>Schools Budget supported by Dedicated Schools Grant</v>
      </c>
      <c r="R14" s="99"/>
      <c r="S14" s="99"/>
      <c r="T14" s="100"/>
      <c r="U14" s="101"/>
      <c r="V14" s="101"/>
      <c r="W14" s="101"/>
      <c r="X14" s="101"/>
      <c r="Y14" s="102" t="e">
        <f>IF(AND(J14="",#REF!&lt;&gt;"*"),"",IF(AND(J14="",#REF!="*"),"Error 1.1",IF(ISNUMBER(J14)=FALSE,"Error 1.2","")))</f>
        <v>#REF!</v>
      </c>
      <c r="Z14" s="103"/>
      <c r="AA14" s="103"/>
      <c r="AB14" s="103"/>
      <c r="AC14" s="29" t="e">
        <f>IF(LEN(TRIM(Y14))&gt;0,1,0)</f>
        <v>#REF!</v>
      </c>
    </row>
    <row r="15" spans="1:28" ht="12.75">
      <c r="A15" s="89" t="s">
        <v>24</v>
      </c>
      <c r="B15" s="104" t="s">
        <v>25</v>
      </c>
      <c r="C15" s="105"/>
      <c r="D15" s="105"/>
      <c r="E15" s="106"/>
      <c r="F15" s="93"/>
      <c r="G15" s="94"/>
      <c r="H15" s="93"/>
      <c r="I15" s="94"/>
      <c r="J15" s="107">
        <f>SUM(J16)-SUM(J14)</f>
        <v>-23188</v>
      </c>
      <c r="K15" s="96"/>
      <c r="L15" s="96"/>
      <c r="M15" s="96"/>
      <c r="Q15" s="98" t="str">
        <f>B15</f>
        <v>Any amount to be carried over to 2008-09</v>
      </c>
      <c r="R15" s="99"/>
      <c r="S15" s="99"/>
      <c r="T15" s="100"/>
      <c r="U15" s="101"/>
      <c r="V15" s="101"/>
      <c r="W15" s="101"/>
      <c r="X15" s="101"/>
      <c r="Y15" s="14"/>
      <c r="Z15" s="103"/>
      <c r="AA15" s="103"/>
      <c r="AB15" s="103"/>
    </row>
    <row r="16" spans="1:29" ht="12.75">
      <c r="A16" s="108" t="s">
        <v>26</v>
      </c>
      <c r="B16" s="109" t="s">
        <v>27</v>
      </c>
      <c r="C16" s="110"/>
      <c r="D16" s="110"/>
      <c r="E16" s="111"/>
      <c r="F16" s="93"/>
      <c r="G16" s="94"/>
      <c r="H16" s="93"/>
      <c r="I16" s="94"/>
      <c r="J16" s="112">
        <v>158427000</v>
      </c>
      <c r="K16" s="96"/>
      <c r="L16" s="96"/>
      <c r="M16" s="96"/>
      <c r="P16" s="97" t="str">
        <f>A16</f>
        <v>R1.3</v>
      </c>
      <c r="Q16" s="98" t="str">
        <f>B16</f>
        <v>Final Dedicated Schools Grant for 2007-08</v>
      </c>
      <c r="R16" s="99"/>
      <c r="S16" s="99"/>
      <c r="T16" s="100"/>
      <c r="U16" s="101"/>
      <c r="V16" s="101"/>
      <c r="W16" s="101"/>
      <c r="X16" s="101"/>
      <c r="Y16" s="102" t="e">
        <f>IF(AND(J16="",#REF!&lt;&gt;"*"),"",IF(AND(J16="",#REF!="*"),"Error 1.1",IF(ISNUMBER(J16)=FALSE,"Error 1.2","")))</f>
        <v>#REF!</v>
      </c>
      <c r="Z16" s="103"/>
      <c r="AA16" s="103"/>
      <c r="AB16" s="103"/>
      <c r="AC16" s="29" t="e">
        <f>IF(LEN(TRIM(Y16))&gt;0,1,0)</f>
        <v>#REF!</v>
      </c>
    </row>
    <row r="17" ht="12.75">
      <c r="A17" s="113"/>
    </row>
    <row r="18" spans="1:28" ht="12.75">
      <c r="A18" s="113"/>
      <c r="B18" s="85" t="s">
        <v>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Q18" s="82" t="str">
        <f>B18</f>
        <v>Spend falling within the definition of the Schools Budget</v>
      </c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</row>
    <row r="19" spans="1:28" ht="30" customHeight="1">
      <c r="A19" s="114" t="s">
        <v>29</v>
      </c>
      <c r="B19" s="115" t="s">
        <v>22</v>
      </c>
      <c r="C19" s="116" t="s">
        <v>30</v>
      </c>
      <c r="D19" s="117"/>
      <c r="E19" s="118"/>
      <c r="F19" s="93"/>
      <c r="G19" s="94"/>
      <c r="H19" s="93"/>
      <c r="I19" s="94"/>
      <c r="J19" s="112">
        <f>J14</f>
        <v>158450188</v>
      </c>
      <c r="K19" s="96"/>
      <c r="L19" s="96"/>
      <c r="M19" s="96"/>
      <c r="Q19" s="119" t="str">
        <f>B19</f>
        <v>R1.1</v>
      </c>
      <c r="R19" s="120" t="str">
        <f>C19</f>
        <v>Schools budget supported by Dedicated Schools Grant</v>
      </c>
      <c r="S19" s="120"/>
      <c r="T19" s="120"/>
      <c r="U19" s="101"/>
      <c r="V19" s="101"/>
      <c r="W19" s="101"/>
      <c r="X19" s="101"/>
      <c r="Y19" s="14"/>
      <c r="Z19" s="103"/>
      <c r="AA19" s="103"/>
      <c r="AB19" s="103"/>
    </row>
    <row r="20" spans="1:29" ht="24">
      <c r="A20" s="114" t="s">
        <v>31</v>
      </c>
      <c r="B20" s="121" t="s">
        <v>32</v>
      </c>
      <c r="C20" s="116" t="s">
        <v>33</v>
      </c>
      <c r="D20" s="117"/>
      <c r="E20" s="118"/>
      <c r="F20" s="93"/>
      <c r="G20" s="94"/>
      <c r="H20" s="93"/>
      <c r="I20" s="94"/>
      <c r="J20" s="95">
        <v>18827842</v>
      </c>
      <c r="K20" s="96"/>
      <c r="L20" s="96"/>
      <c r="M20" s="96"/>
      <c r="Q20" s="14" t="str">
        <f>B20</f>
        <v>Budget 07-08 T1: 5a.1 to 5c.2 (income)</v>
      </c>
      <c r="R20" s="15" t="str">
        <f>C20</f>
        <v>LSC Funding</v>
      </c>
      <c r="S20" s="15"/>
      <c r="T20" s="15"/>
      <c r="U20" s="101"/>
      <c r="V20" s="101"/>
      <c r="W20" s="101"/>
      <c r="X20" s="101"/>
      <c r="Y20" s="102" t="e">
        <f>IF(AND(J20="",#REF!&lt;&gt;"*"),"",IF(AND(J20="",#REF!="*"),"Error 1.1",IF(ISNUMBER(J20)=FALSE,"Error 1.2","")))</f>
        <v>#REF!</v>
      </c>
      <c r="Z20" s="103"/>
      <c r="AA20" s="103"/>
      <c r="AB20" s="103"/>
      <c r="AC20" s="29" t="e">
        <f>IF(LEN(TRIM(Y20))&gt;0,1,0)</f>
        <v>#REF!</v>
      </c>
    </row>
    <row r="21" spans="1:29" ht="12.75">
      <c r="A21" s="114" t="s">
        <v>34</v>
      </c>
      <c r="B21" s="115" t="s">
        <v>35</v>
      </c>
      <c r="C21" s="116" t="s">
        <v>36</v>
      </c>
      <c r="D21" s="117"/>
      <c r="E21" s="118"/>
      <c r="F21" s="93"/>
      <c r="G21" s="94"/>
      <c r="H21" s="93"/>
      <c r="I21" s="94"/>
      <c r="J21" s="95">
        <v>0</v>
      </c>
      <c r="K21" s="96"/>
      <c r="L21" s="96"/>
      <c r="M21" s="96"/>
      <c r="Q21" s="14" t="str">
        <f>B21</f>
        <v>LA to enter</v>
      </c>
      <c r="R21" s="15" t="str">
        <f>C21</f>
        <v>LA additional contribution</v>
      </c>
      <c r="S21" s="15"/>
      <c r="T21" s="15"/>
      <c r="U21" s="101"/>
      <c r="V21" s="101"/>
      <c r="W21" s="101"/>
      <c r="X21" s="101"/>
      <c r="Y21" s="102" t="e">
        <f>IF(AND(J21="",#REF!&lt;&gt;"*"),"",IF(AND(J21="",#REF!="*"),"Error 1.1",IF(ISNUMBER(J21)=FALSE,"Error 1.2","")))</f>
        <v>#REF!</v>
      </c>
      <c r="Z21" s="103"/>
      <c r="AA21" s="103"/>
      <c r="AB21" s="103"/>
      <c r="AC21" s="29" t="e">
        <f>IF(LEN(TRIM(Y21))&gt;0,1,0)</f>
        <v>#REF!</v>
      </c>
    </row>
    <row r="22" spans="1:29" ht="26.25" customHeight="1">
      <c r="A22" s="114" t="s">
        <v>37</v>
      </c>
      <c r="B22" s="96"/>
      <c r="C22" s="122"/>
      <c r="D22" s="123"/>
      <c r="E22" s="124"/>
      <c r="F22" s="125" t="s">
        <v>38</v>
      </c>
      <c r="G22" s="126"/>
      <c r="H22" s="125" t="s">
        <v>39</v>
      </c>
      <c r="I22" s="126"/>
      <c r="J22" s="96"/>
      <c r="K22" s="95">
        <f>SUM('[1]Table A'!G86,'[1]Table A'!O112)</f>
        <v>149881629.49</v>
      </c>
      <c r="L22" s="96"/>
      <c r="M22" s="96"/>
      <c r="Q22" s="127"/>
      <c r="R22" s="128"/>
      <c r="S22" s="128"/>
      <c r="T22" s="128"/>
      <c r="U22" s="120" t="str">
        <f>F22</f>
        <v>Outturn 07-08 TA: 68 (NRE) + 57 (col f)</v>
      </c>
      <c r="V22" s="120"/>
      <c r="W22" s="120" t="str">
        <f>H22</f>
        <v>Spending by schools (including schools CERA)</v>
      </c>
      <c r="X22" s="120"/>
      <c r="Y22" s="103"/>
      <c r="Z22" s="129" t="e">
        <f>IF(AND(K22="",#REF!&lt;&gt;"*"),"",IF(AND(K22="",#REF!="*"),"Error 1.1",IF(ISNUMBER(K22)=FALSE,"Error 1.2",IF(ABS(K22-SUM('[1]Table A'!G86,'[1]Table A'!O112))&gt;1000,"Error 4.18.1",""))))</f>
        <v>#REF!</v>
      </c>
      <c r="AA22" s="103"/>
      <c r="AB22" s="103"/>
      <c r="AC22" s="29" t="e">
        <f>IF(LEN(TRIM(Z22))&gt;0,1,0)</f>
        <v>#REF!</v>
      </c>
    </row>
    <row r="23" spans="1:29" ht="26.25" customHeight="1">
      <c r="A23" s="114" t="s">
        <v>40</v>
      </c>
      <c r="B23" s="96"/>
      <c r="C23" s="122"/>
      <c r="D23" s="123"/>
      <c r="E23" s="124"/>
      <c r="F23" s="130" t="s">
        <v>41</v>
      </c>
      <c r="G23" s="131"/>
      <c r="H23" s="125" t="s">
        <v>42</v>
      </c>
      <c r="I23" s="126"/>
      <c r="J23" s="96"/>
      <c r="K23" s="95">
        <f>SUM('[1]Table A'!O130)</f>
        <v>11436112.049999997</v>
      </c>
      <c r="L23" s="96"/>
      <c r="M23" s="96"/>
      <c r="Q23" s="127"/>
      <c r="R23" s="128"/>
      <c r="S23" s="128"/>
      <c r="T23" s="128"/>
      <c r="U23" s="120" t="str">
        <f>F23</f>
        <v>Outturn 07-08 TA: 80 (NRE) </v>
      </c>
      <c r="V23" s="120"/>
      <c r="W23" s="120" t="str">
        <f>H23</f>
        <v>Spending by LA within the schools budget (including CERA)</v>
      </c>
      <c r="X23" s="120"/>
      <c r="Y23" s="103"/>
      <c r="Z23" s="129" t="e">
        <f>IF(AND(K23="",#REF!&lt;&gt;"*"),"",IF(AND(K23="",#REF!="*"),"Error 1.1",IF(ISNUMBER(K23)=FALSE,"Error 1.2",IF(ABS(K23-'[1]Table A'!O130)&gt;1000,"Error 4.18.2",""))))</f>
        <v>#REF!</v>
      </c>
      <c r="AA23" s="103"/>
      <c r="AB23" s="103"/>
      <c r="AC23" s="29" t="e">
        <f>IF(LEN(TRIM(Z23))&gt;0,1,0)</f>
        <v>#REF!</v>
      </c>
    </row>
    <row r="24" ht="12.75">
      <c r="A24" s="113"/>
    </row>
    <row r="25" spans="1:28" ht="12.75">
      <c r="A25" s="113"/>
      <c r="B25" s="85" t="s">
        <v>43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Q25" s="82" t="str">
        <f>B25</f>
        <v>Grants scored "gross" in the Schools Budget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</row>
    <row r="26" spans="1:29" ht="24">
      <c r="A26" s="89" t="s">
        <v>44</v>
      </c>
      <c r="B26" s="132" t="s">
        <v>45</v>
      </c>
      <c r="C26" s="133" t="s">
        <v>46</v>
      </c>
      <c r="D26" s="134"/>
      <c r="E26" s="135"/>
      <c r="F26" s="93"/>
      <c r="G26" s="94"/>
      <c r="H26" s="93"/>
      <c r="I26" s="94"/>
      <c r="J26" s="95">
        <v>16787062</v>
      </c>
      <c r="K26" s="96"/>
      <c r="L26" s="96"/>
      <c r="M26" s="96"/>
      <c r="Q26" s="14" t="str">
        <f>B26</f>
        <v>Budget 07-08 T1: 5a.1 to 5a.2 (income)</v>
      </c>
      <c r="R26" s="15" t="str">
        <f>C26</f>
        <v>LSC grant supporting the ISB</v>
      </c>
      <c r="S26" s="15"/>
      <c r="T26" s="15"/>
      <c r="U26" s="101"/>
      <c r="V26" s="101"/>
      <c r="W26" s="101"/>
      <c r="X26" s="101"/>
      <c r="Y26" s="102" t="e">
        <f>IF(AND(J26="",#REF!&lt;&gt;"*"),"",IF(AND(J26="",#REF!="*"),"Error 1.1",IF(ISNUMBER(J26)=FALSE,"Error 1.2","")))</f>
        <v>#REF!</v>
      </c>
      <c r="Z26" s="103"/>
      <c r="AA26" s="103"/>
      <c r="AB26" s="103"/>
      <c r="AC26" s="29" t="e">
        <f>IF(LEN(TRIM(Y26))&gt;0,1,0)</f>
        <v>#REF!</v>
      </c>
    </row>
    <row r="27" spans="1:29" ht="37.5" customHeight="1">
      <c r="A27" s="136" t="s">
        <v>47</v>
      </c>
      <c r="B27" s="132" t="s">
        <v>48</v>
      </c>
      <c r="C27" s="137" t="s">
        <v>49</v>
      </c>
      <c r="D27" s="138"/>
      <c r="E27" s="139"/>
      <c r="F27" s="93"/>
      <c r="G27" s="94"/>
      <c r="H27" s="93"/>
      <c r="I27" s="94"/>
      <c r="J27" s="95">
        <v>2040780</v>
      </c>
      <c r="K27" s="96"/>
      <c r="L27" s="96"/>
      <c r="M27" s="96"/>
      <c r="Q27" s="14" t="str">
        <f>B27</f>
        <v>Budget 07-08 T1: 5b.1 to 5c.2 (income)</v>
      </c>
      <c r="R27" s="15" t="str">
        <f>C27</f>
        <v> LSC grant (other) [including LSC Threshold and Performance Pay Costs]</v>
      </c>
      <c r="S27" s="15"/>
      <c r="T27" s="15"/>
      <c r="U27" s="101"/>
      <c r="V27" s="101"/>
      <c r="W27" s="101"/>
      <c r="X27" s="101"/>
      <c r="Y27" s="102" t="e">
        <f>IF(AND(J27="",#REF!&lt;&gt;"*"),"",IF(AND(J27="",#REF!="*"),"Error 1.1",IF(ISNUMBER(J27)=FALSE,"Error 1.2","")))</f>
        <v>#REF!</v>
      </c>
      <c r="Z27" s="103"/>
      <c r="AA27" s="103"/>
      <c r="AB27" s="103"/>
      <c r="AC27" s="29" t="e">
        <f>IF(LEN(TRIM(Y27))&gt;0,1,0)</f>
        <v>#REF!</v>
      </c>
    </row>
    <row r="28" spans="1:29" ht="12.75">
      <c r="A28" s="89" t="s">
        <v>50</v>
      </c>
      <c r="B28" s="140" t="s">
        <v>51</v>
      </c>
      <c r="C28" s="141" t="s">
        <v>52</v>
      </c>
      <c r="D28" s="142"/>
      <c r="E28" s="143"/>
      <c r="F28" s="93"/>
      <c r="G28" s="94"/>
      <c r="H28" s="93"/>
      <c r="I28" s="94"/>
      <c r="J28" s="95">
        <v>0</v>
      </c>
      <c r="K28" s="96"/>
      <c r="L28" s="96"/>
      <c r="M28" s="96"/>
      <c r="Q28" s="14" t="str">
        <f>B28</f>
        <v>Budget 07-08 T1: 1.6.5 (net)</v>
      </c>
      <c r="R28" s="15" t="str">
        <f>C28</f>
        <v>Performance Reward Grant</v>
      </c>
      <c r="S28" s="15"/>
      <c r="T28" s="15"/>
      <c r="U28" s="101"/>
      <c r="V28" s="101"/>
      <c r="W28" s="101"/>
      <c r="X28" s="101"/>
      <c r="Y28" s="102" t="e">
        <f>IF(AND(J28="",#REF!&lt;&gt;"*"),"",IF(AND(J28="",#REF!="*"),"Error 1.1",IF(ISNUMBER(J28)=FALSE,"Error 1.2","")))</f>
        <v>#REF!</v>
      </c>
      <c r="Z28" s="103"/>
      <c r="AA28" s="103"/>
      <c r="AB28" s="103"/>
      <c r="AC28" s="29" t="e">
        <f>IF(LEN(TRIM(Y28))&gt;0,1,0)</f>
        <v>#REF!</v>
      </c>
    </row>
    <row r="30" spans="2:28" ht="12.75">
      <c r="B30" s="85" t="s">
        <v>53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Q30" s="82" t="str">
        <f>B30</f>
        <v>Total Schools Budget net of grant income</v>
      </c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</row>
    <row r="31" spans="1:28" ht="39" customHeight="1">
      <c r="A31" s="144" t="s">
        <v>54</v>
      </c>
      <c r="B31" s="145" t="s">
        <v>55</v>
      </c>
      <c r="C31" s="146" t="s">
        <v>56</v>
      </c>
      <c r="D31" s="147"/>
      <c r="E31" s="148"/>
      <c r="F31" s="149" t="s">
        <v>57</v>
      </c>
      <c r="G31" s="150"/>
      <c r="H31" s="151" t="s">
        <v>58</v>
      </c>
      <c r="I31" s="152"/>
      <c r="J31" s="112">
        <f>SUM(J19:J21)-SUM(J26:J28)</f>
        <v>158450188</v>
      </c>
      <c r="K31" s="112">
        <f>SUM('[1]Table A'!O132)</f>
        <v>161317741.54</v>
      </c>
      <c r="L31" s="112">
        <f>SUM(K31)-SUM(J31)</f>
        <v>2867553.5399999917</v>
      </c>
      <c r="M31" s="112">
        <f>IF(ISERROR((L31/J31)*100),0,(L31/J31)*100)</f>
        <v>1.8097507968876574</v>
      </c>
      <c r="P31" s="153" t="str">
        <f>A31</f>
        <v>R4.1</v>
      </c>
      <c r="Q31" s="120" t="str">
        <f>B31</f>
        <v>R2.1 + R2.2 + R2.3 - R3.1 - R3.2 - R3.3</v>
      </c>
      <c r="R31" s="120"/>
      <c r="S31" s="120"/>
      <c r="T31" s="120"/>
      <c r="U31" s="120" t="str">
        <f>F31</f>
        <v>Outturn 07-08 TA: 81 (NRE)</v>
      </c>
      <c r="V31" s="120"/>
      <c r="W31" s="120" t="str">
        <f>H31</f>
        <v>Total Schools Budget (including CERA)</v>
      </c>
      <c r="X31" s="120"/>
      <c r="Y31" s="14"/>
      <c r="Z31" s="14"/>
      <c r="AA31" s="14"/>
      <c r="AB31" s="14"/>
    </row>
    <row r="32" ht="12.75">
      <c r="A32" s="113"/>
    </row>
    <row r="33" spans="1:29" ht="51.75" customHeight="1">
      <c r="A33" s="144" t="s">
        <v>59</v>
      </c>
      <c r="B33" s="154" t="s">
        <v>60</v>
      </c>
      <c r="C33" s="151" t="s">
        <v>61</v>
      </c>
      <c r="D33" s="155"/>
      <c r="E33" s="152"/>
      <c r="F33" s="149" t="s">
        <v>62</v>
      </c>
      <c r="G33" s="150"/>
      <c r="H33" s="151" t="s">
        <v>63</v>
      </c>
      <c r="I33" s="152"/>
      <c r="J33" s="95">
        <v>11575586</v>
      </c>
      <c r="K33" s="95">
        <f>SUM('[1]Table A'!O130)</f>
        <v>11436112.049999997</v>
      </c>
      <c r="L33" s="112">
        <f>SUM(K33)-SUM(J33)</f>
        <v>-139473.95000000298</v>
      </c>
      <c r="M33" s="112">
        <f>IF(ISERROR((L33/J33)*100),0,(L33/J33)*100)</f>
        <v>-1.2048975317534938</v>
      </c>
      <c r="P33" s="153" t="str">
        <f>A33</f>
        <v>R4.2</v>
      </c>
      <c r="Q33" s="119" t="str">
        <f>B33</f>
        <v>Budegt 07-08 T1: sum of lines 1.2.1 to 1.7.2 less grant funding in lines 5b.1 to 5b.4</v>
      </c>
      <c r="R33" s="120" t="str">
        <f>C33</f>
        <v>of which central spend (unadjusted for increases to / exclusions from limit)</v>
      </c>
      <c r="S33" s="120"/>
      <c r="T33" s="120"/>
      <c r="U33" s="120" t="str">
        <f>F33</f>
        <v>Outturn 07-08 TA: 80 (NRE)</v>
      </c>
      <c r="V33" s="120"/>
      <c r="W33" s="120" t="str">
        <f>H33</f>
        <v>subtotal: central expenditure within the schools budget (including CERA)</v>
      </c>
      <c r="X33" s="120"/>
      <c r="Y33" s="129" t="e">
        <f>IF(AND(J33="",#REF!&lt;&gt;"*"),"",IF(AND(J33="",#REF!="*"),"Error 1.1",IF(ISNUMBER(J33)=FALSE,"Error 1.2","")))</f>
        <v>#REF!</v>
      </c>
      <c r="Z33" s="129" t="e">
        <f>IF(AND(K33="",#REF!&lt;&gt;"*"),"",IF(AND(K33="",#REF!="*"),"Error 1.1",IF(ISNUMBER(K33)=FALSE,"Error 1.2",IF(ABS(K33-'[1]Table A'!O130)&gt;1000,"Error 4.18.3",""))))</f>
        <v>#REF!</v>
      </c>
      <c r="AA33" s="14"/>
      <c r="AB33" s="14"/>
      <c r="AC33" s="29" t="e">
        <f>IF(LEN(TRIM(Y33&amp;Z33))&gt;0,1,0)</f>
        <v>#REF!</v>
      </c>
    </row>
    <row r="34" ht="12.75">
      <c r="A34" s="113"/>
    </row>
    <row r="35" spans="1:28" ht="12.75">
      <c r="A35" s="113"/>
      <c r="B35" s="85" t="s">
        <v>64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Q35" s="82" t="str">
        <f>B35</f>
        <v>Total Schools Budget net of grant income, adjusted for school balances (see note 1 below)</v>
      </c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4"/>
    </row>
    <row r="36" spans="1:29" ht="36.75" customHeight="1">
      <c r="A36" s="144" t="s">
        <v>65</v>
      </c>
      <c r="B36" s="154" t="s">
        <v>54</v>
      </c>
      <c r="C36" s="151" t="s">
        <v>53</v>
      </c>
      <c r="D36" s="155"/>
      <c r="E36" s="152"/>
      <c r="F36" s="151" t="s">
        <v>66</v>
      </c>
      <c r="G36" s="152"/>
      <c r="H36" s="151" t="s">
        <v>67</v>
      </c>
      <c r="I36" s="152"/>
      <c r="J36" s="112">
        <f>J31</f>
        <v>158450188</v>
      </c>
      <c r="K36" s="112">
        <f>SUM(K31)+SUM('[1]Table A'!G98,'[1]Table A'!G99,'[1]Table A'!G100)-SUM('[1]Table A'!G92,'[1]Table A'!G93,'[1]Table A'!G94)</f>
        <v>160049745.13707763</v>
      </c>
      <c r="L36" s="112">
        <f>SUM(K36)-SUM(J36)</f>
        <v>1599557.1370776296</v>
      </c>
      <c r="M36" s="112">
        <f>IF(ISERROR((L36/J36)*100),0,(L36/J36)*100)</f>
        <v>1.0095015709780222</v>
      </c>
      <c r="P36" s="153" t="str">
        <f>A36</f>
        <v>R5.1</v>
      </c>
      <c r="Q36" s="119"/>
      <c r="R36" s="120" t="str">
        <f>C36</f>
        <v>Total Schools Budget net of grant income</v>
      </c>
      <c r="S36" s="120"/>
      <c r="T36" s="120"/>
      <c r="U36" s="120" t="str">
        <f>F36</f>
        <v>R4.1 + Outturn 07-08 TA: 61 to 63 (col f) - 58 to 60 (col f)</v>
      </c>
      <c r="V36" s="120"/>
      <c r="W36" s="120" t="str">
        <f>H36</f>
        <v>Total Schools Budget (including CERA) + closing B01, B02 &amp; B06 - opening B01, B02 &amp; B06</v>
      </c>
      <c r="X36" s="120"/>
      <c r="Y36" s="14"/>
      <c r="Z36" s="14"/>
      <c r="AA36" s="14"/>
      <c r="AB36" s="156">
        <f>IF(OR(M36&gt;5,M36&lt;-5),"Warning 4.1","")</f>
      </c>
      <c r="AC36" s="29">
        <f>IF(LEN(TRIM(AB36))&gt;0,1,0)</f>
        <v>0</v>
      </c>
    </row>
    <row r="38" spans="1:28" ht="12.75">
      <c r="A38" s="79" t="s">
        <v>68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P38" s="82" t="str">
        <f>A38</f>
        <v>LA Budget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</row>
    <row r="40" spans="2:28" ht="12.75">
      <c r="B40" s="85" t="s">
        <v>69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Q40" s="82" t="str">
        <f>B40</f>
        <v>LA Central Functions</v>
      </c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</row>
    <row r="42" spans="2:28" ht="12.75">
      <c r="B42" s="85" t="s">
        <v>70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Q42" s="82" t="str">
        <f>B42</f>
        <v>Central Administration</v>
      </c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</row>
    <row r="43" spans="1:29" ht="39.75" customHeight="1">
      <c r="A43" s="136" t="s">
        <v>71</v>
      </c>
      <c r="B43" s="157" t="s">
        <v>72</v>
      </c>
      <c r="C43" s="116" t="s">
        <v>73</v>
      </c>
      <c r="D43" s="117"/>
      <c r="E43" s="118"/>
      <c r="F43" s="116" t="s">
        <v>74</v>
      </c>
      <c r="G43" s="118"/>
      <c r="H43" s="116" t="s">
        <v>75</v>
      </c>
      <c r="I43" s="118"/>
      <c r="J43" s="95">
        <v>2084250</v>
      </c>
      <c r="K43" s="95">
        <f>SUM('[1]Table A'!O138,'[1]Table A'!O139,'[1]Table A'!O140)</f>
        <v>3854664.6700000004</v>
      </c>
      <c r="L43" s="96"/>
      <c r="M43" s="96"/>
      <c r="Q43" s="119" t="str">
        <f>B43</f>
        <v>Budget 07-08 T1: 2.0.1 + 2.0.5 + 2.0.6 (net)</v>
      </c>
      <c r="R43" s="120" t="str">
        <f>C43</f>
        <v>Statutory / regulatory duties + joint use arrangements + insurance</v>
      </c>
      <c r="S43" s="120"/>
      <c r="T43" s="120"/>
      <c r="U43" s="120" t="str">
        <f>F43</f>
        <v>Outturn 07-08 TA: 82 + 83 + 84 (NRE)</v>
      </c>
      <c r="V43" s="120"/>
      <c r="W43" s="120" t="str">
        <f>H43</f>
        <v>Central Administration + Teacher Development + HE/FE courses run on behalf of the authority</v>
      </c>
      <c r="X43" s="120"/>
      <c r="Y43" s="129" t="e">
        <f>IF(AND(J43="",#REF!&lt;&gt;"*"),"",IF(AND(J43="",#REF!="*"),"Error 1.1",IF(ISNUMBER(J43)=FALSE,"Error 1.2","")))</f>
        <v>#REF!</v>
      </c>
      <c r="Z43" s="129" t="e">
        <f>IF(AND(K43="",#REF!&lt;&gt;"*"),"",IF(AND(K43="",#REF!="*"),"Error 1.1",IF(ISNUMBER(K43)=FALSE,"Error 1.2",IF(ABS(K43-SUM('[1]Table A'!O138,'[1]Table A'!O139,'[1]Table A'!O140))&gt;1000,"Error 4.18.4",""))))</f>
        <v>#REF!</v>
      </c>
      <c r="AA43" s="103"/>
      <c r="AB43" s="103"/>
      <c r="AC43" s="29" t="e">
        <f>IF(LEN(TRIM(Y43&amp;Z43))&gt;0,1,0)</f>
        <v>#REF!</v>
      </c>
    </row>
    <row r="44" spans="1:29" ht="36" customHeight="1">
      <c r="A44" s="136" t="s">
        <v>76</v>
      </c>
      <c r="B44" s="157" t="s">
        <v>77</v>
      </c>
      <c r="C44" s="116" t="s">
        <v>78</v>
      </c>
      <c r="D44" s="117"/>
      <c r="E44" s="118"/>
      <c r="F44" s="116" t="s">
        <v>79</v>
      </c>
      <c r="G44" s="118"/>
      <c r="H44" s="116" t="s">
        <v>80</v>
      </c>
      <c r="I44" s="118"/>
      <c r="J44" s="95">
        <v>1133340</v>
      </c>
      <c r="K44" s="95">
        <f>SUM('[1]Table A'!O141)</f>
        <v>982601.03</v>
      </c>
      <c r="L44" s="96"/>
      <c r="M44" s="96"/>
      <c r="Q44" s="119" t="str">
        <f>B44</f>
        <v>Budget 07-08 T1: 2.0.2 to 2.0.4 (net)</v>
      </c>
      <c r="R44" s="120" t="str">
        <f>C44</f>
        <v>PRC/redundancy costs + existing early retirement costs + residual pension liability</v>
      </c>
      <c r="S44" s="120"/>
      <c r="T44" s="120"/>
      <c r="U44" s="120" t="str">
        <f>F44</f>
        <v>Outturn 07-08 TA: 85 (NRE)</v>
      </c>
      <c r="V44" s="120"/>
      <c r="W44" s="120" t="str">
        <f>H44</f>
        <v>PRC, Redundancy, Existing Early Retirement and Pension liabilities costs</v>
      </c>
      <c r="X44" s="120"/>
      <c r="Y44" s="129" t="e">
        <f>IF(AND(J44="",#REF!&lt;&gt;"*"),"",IF(AND(J44="",#REF!="*"),"Error 1.1",IF(ISNUMBER(J44)=FALSE,"Error 1.2","")))</f>
        <v>#REF!</v>
      </c>
      <c r="Z44" s="129" t="e">
        <f>IF(AND(K44="",#REF!&lt;&gt;"*"),"",IF(AND(K44="",#REF!="*"),"Error 1.1",IF(ISNUMBER(K44)=FALSE,"Error 1.2",IF(ABS(K44-'[1]Table A'!O141)&gt;1000,"Error 4.18.5",""))))</f>
        <v>#REF!</v>
      </c>
      <c r="AA44" s="103"/>
      <c r="AB44" s="103"/>
      <c r="AC44" s="29" t="e">
        <f>IF(LEN(TRIM(Y44&amp;Z44))&gt;0,1,0)</f>
        <v>#REF!</v>
      </c>
    </row>
    <row r="45" spans="1:28" ht="12.75">
      <c r="A45" s="144" t="s">
        <v>81</v>
      </c>
      <c r="B45" s="158" t="s">
        <v>82</v>
      </c>
      <c r="C45" s="158"/>
      <c r="D45" s="158"/>
      <c r="E45" s="158"/>
      <c r="F45" s="158"/>
      <c r="G45" s="158"/>
      <c r="H45" s="158"/>
      <c r="I45" s="158"/>
      <c r="J45" s="159">
        <f>SUM(J43:J44)</f>
        <v>3217590</v>
      </c>
      <c r="K45" s="159">
        <f>SUM(K43:K44)</f>
        <v>4837265.7</v>
      </c>
      <c r="L45" s="160">
        <f>SUM(K45)-SUM(J45)</f>
        <v>1619675.7000000002</v>
      </c>
      <c r="M45" s="160">
        <f>IF(ISERROR((L45/J45)*100),0,(L45/J45)*100)</f>
        <v>50.33816303506662</v>
      </c>
      <c r="P45" s="97" t="str">
        <f>A45</f>
        <v>R6.3</v>
      </c>
      <c r="Q45" s="98" t="str">
        <f>B45</f>
        <v>Total Central Administration</v>
      </c>
      <c r="R45" s="99"/>
      <c r="S45" s="99"/>
      <c r="T45" s="99"/>
      <c r="U45" s="99"/>
      <c r="V45" s="99"/>
      <c r="W45" s="99"/>
      <c r="X45" s="100"/>
      <c r="Y45" s="161"/>
      <c r="Z45" s="161"/>
      <c r="AA45" s="161"/>
      <c r="AB45" s="161"/>
    </row>
    <row r="47" spans="2:28" ht="12.75">
      <c r="B47" s="85" t="s">
        <v>83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Q47" s="82" t="str">
        <f>B47</f>
        <v>Support and Access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</row>
    <row r="48" spans="1:29" ht="24">
      <c r="A48" s="114" t="s">
        <v>84</v>
      </c>
      <c r="B48" s="157" t="s">
        <v>85</v>
      </c>
      <c r="C48" s="116" t="s">
        <v>86</v>
      </c>
      <c r="D48" s="117"/>
      <c r="E48" s="118"/>
      <c r="F48" s="116" t="s">
        <v>87</v>
      </c>
      <c r="G48" s="118"/>
      <c r="H48" s="116" t="s">
        <v>88</v>
      </c>
      <c r="I48" s="118"/>
      <c r="J48" s="95">
        <v>473220</v>
      </c>
      <c r="K48" s="95">
        <f>SUM('[1]Table A'!O146)</f>
        <v>499443.03</v>
      </c>
      <c r="L48" s="96"/>
      <c r="M48" s="96"/>
      <c r="Q48" s="119" t="str">
        <f>B48</f>
        <v>Budget 07-08 T1: 2.4.5 + 2.4.11 + 2.4.12 (net)</v>
      </c>
      <c r="R48" s="120" t="str">
        <f>C48</f>
        <v>Pupil support + music service + visual and performing arts</v>
      </c>
      <c r="S48" s="120"/>
      <c r="T48" s="120"/>
      <c r="U48" s="120" t="str">
        <f>F48</f>
        <v>Outturn 07-08 TA: 87 (NRE)</v>
      </c>
      <c r="V48" s="120"/>
      <c r="W48" s="120" t="str">
        <f>H48</f>
        <v>Pupil Support</v>
      </c>
      <c r="X48" s="120"/>
      <c r="Y48" s="129" t="e">
        <f>IF(AND(J48="",#REF!&lt;&gt;"*"),"",IF(AND(J48="",#REF!="*"),"Error 1.1",IF(ISNUMBER(J48)=FALSE,"Error 1.2","")))</f>
        <v>#REF!</v>
      </c>
      <c r="Z48" s="129" t="e">
        <f>IF(AND(K48="",#REF!&lt;&gt;"*"),"",IF(AND(K48="",#REF!="*"),"Error 1.1",IF(ISNUMBER(K48)=FALSE,"Error 1.2",IF(ABS(K48-'[1]Table A'!O146)&gt;1000,"Error 4.18.6",""))))</f>
        <v>#REF!</v>
      </c>
      <c r="AA48" s="103"/>
      <c r="AB48" s="103"/>
      <c r="AC48" s="29" t="e">
        <f>IF(LEN(TRIM(Y48&amp;Z48))&gt;0,1,0)</f>
        <v>#REF!</v>
      </c>
    </row>
    <row r="49" spans="1:29" ht="99" customHeight="1">
      <c r="A49" s="114" t="s">
        <v>89</v>
      </c>
      <c r="B49" s="157" t="s">
        <v>90</v>
      </c>
      <c r="C49" s="116" t="s">
        <v>91</v>
      </c>
      <c r="D49" s="117"/>
      <c r="E49" s="118"/>
      <c r="F49" s="116" t="s">
        <v>92</v>
      </c>
      <c r="G49" s="118"/>
      <c r="H49" s="116" t="s">
        <v>93</v>
      </c>
      <c r="I49" s="118"/>
      <c r="J49" s="95">
        <v>3773499</v>
      </c>
      <c r="K49" s="95">
        <f>SUM('[1]Table A'!O147)</f>
        <v>3197285.8000000007</v>
      </c>
      <c r="L49" s="96"/>
      <c r="M49" s="96"/>
      <c r="Q49" s="119" t="str">
        <f>B49</f>
        <v>Budget 07-08 T1: 2.0.7 + 2.2.7 + 2.3.1 + 2.4.1 to 2.4.4 + 2.4.10 + 2.4.13 (net)</v>
      </c>
      <c r="R49" s="120" t="str">
        <f>C49</f>
        <v>Monitoring National Curriculum Assessment + Total Special Education + school improvement + asset management + supply of school places + excluded pupils + behaviour support plans + education welfare service + outdoor education</v>
      </c>
      <c r="S49" s="120"/>
      <c r="T49" s="120"/>
      <c r="U49" s="120" t="str">
        <f>F49</f>
        <v>Outturn 07-08 TA: 88 (NRE)</v>
      </c>
      <c r="V49" s="120"/>
      <c r="W49" s="120" t="str">
        <f>H49</f>
        <v>Other Support Services: expenditure falling within the definition of the "LA Budget"</v>
      </c>
      <c r="X49" s="120"/>
      <c r="Y49" s="129" t="e">
        <f>IF(AND(J49="",#REF!&lt;&gt;"*"),"",IF(AND(J49="",#REF!="*"),"Error 1.1",IF(ISNUMBER(J49)=FALSE,"Error 1.2","")))</f>
        <v>#REF!</v>
      </c>
      <c r="Z49" s="129" t="e">
        <f>IF(AND(K49="",#REF!&lt;&gt;"*"),"",IF(AND(K49="",#REF!="*"),"Error 1.1",IF(ISNUMBER(K49)=FALSE,"Error 1.2",IF(ABS(K49-'[1]Table A'!O147)&gt;1000,"Error 4.18.7",""))))</f>
        <v>#REF!</v>
      </c>
      <c r="AA49" s="103"/>
      <c r="AB49" s="103"/>
      <c r="AC49" s="29" t="e">
        <f>IF(LEN(TRIM(Y49&amp;Z49))&gt;0,1,0)</f>
        <v>#REF!</v>
      </c>
    </row>
    <row r="50" spans="1:29" ht="26.25" customHeight="1">
      <c r="A50" s="114" t="s">
        <v>94</v>
      </c>
      <c r="B50" s="157" t="s">
        <v>95</v>
      </c>
      <c r="C50" s="116" t="s">
        <v>96</v>
      </c>
      <c r="D50" s="117"/>
      <c r="E50" s="118"/>
      <c r="F50" s="116" t="s">
        <v>97</v>
      </c>
      <c r="G50" s="118"/>
      <c r="H50" s="116" t="s">
        <v>96</v>
      </c>
      <c r="I50" s="118"/>
      <c r="J50" s="95">
        <v>4137371</v>
      </c>
      <c r="K50" s="95">
        <f>SUM('[1]Table A'!O148,'[1]Table A'!O149,'[1]Table A'!O150,'[1]Table A'!O151)</f>
        <v>3975703.5400000005</v>
      </c>
      <c r="L50" s="96"/>
      <c r="M50" s="96"/>
      <c r="Q50" s="119" t="str">
        <f>B50</f>
        <v>Budget 07-08 T1: 2.4.6 to 2.4.9 (net)</v>
      </c>
      <c r="R50" s="120" t="str">
        <f>C50</f>
        <v>Home to School / college transport</v>
      </c>
      <c r="S50" s="120"/>
      <c r="T50" s="120"/>
      <c r="U50" s="120" t="str">
        <f>F50</f>
        <v>Outturn 07-08 TA: 89 to 92 (NRE)</v>
      </c>
      <c r="V50" s="120"/>
      <c r="W50" s="120" t="str">
        <f>H50</f>
        <v>Home to School / college transport</v>
      </c>
      <c r="X50" s="120"/>
      <c r="Y50" s="129" t="e">
        <f>IF(AND(J50="",#REF!&lt;&gt;"*"),"",IF(AND(J50="",#REF!="*"),"Error 1.1",IF(ISNUMBER(J50)=FALSE,"Error 1.2","")))</f>
        <v>#REF!</v>
      </c>
      <c r="Z50" s="129" t="e">
        <f>IF(AND(K50="",#REF!&lt;&gt;"*"),"",IF(AND(K50="",#REF!="*"),"Error 1.1",IF(ISNUMBER(K50)=FALSE,"Error 1.2",IF(ABS(K50-SUM('[1]Table A'!O148,'[1]Table A'!O149,'[1]Table A'!O150,'[1]Table A'!O151))&gt;1000,"Error 4.18.8",""))))</f>
        <v>#REF!</v>
      </c>
      <c r="AA50" s="103"/>
      <c r="AB50" s="103"/>
      <c r="AC50" s="29" t="e">
        <f>IF(LEN(TRIM(Y50&amp;Z50))&gt;0,1,0)</f>
        <v>#REF!</v>
      </c>
    </row>
    <row r="51" spans="1:28" ht="12.75">
      <c r="A51" s="144" t="s">
        <v>98</v>
      </c>
      <c r="B51" s="158" t="s">
        <v>99</v>
      </c>
      <c r="C51" s="158"/>
      <c r="D51" s="158"/>
      <c r="E51" s="158"/>
      <c r="F51" s="158"/>
      <c r="G51" s="158"/>
      <c r="H51" s="158"/>
      <c r="I51" s="158"/>
      <c r="J51" s="159">
        <f>SUM(J48:J50)</f>
        <v>8384090</v>
      </c>
      <c r="K51" s="159">
        <f>SUM(K48:K50)</f>
        <v>7672432.370000001</v>
      </c>
      <c r="L51" s="160">
        <f>SUM(K51)-SUM(J51)</f>
        <v>-711657.629999999</v>
      </c>
      <c r="M51" s="160">
        <f>IF(ISERROR((L51/J51)*100),0,(L51/J51)*100)</f>
        <v>-8.488191682102638</v>
      </c>
      <c r="P51" s="97" t="str">
        <f>A51</f>
        <v>R7.4</v>
      </c>
      <c r="Q51" s="98" t="str">
        <f>B51</f>
        <v>Total Support and Access</v>
      </c>
      <c r="R51" s="99"/>
      <c r="S51" s="99"/>
      <c r="T51" s="99"/>
      <c r="U51" s="99"/>
      <c r="V51" s="99"/>
      <c r="W51" s="99"/>
      <c r="X51" s="100"/>
      <c r="Y51" s="161"/>
      <c r="Z51" s="161"/>
      <c r="AA51" s="161"/>
      <c r="AB51" s="161"/>
    </row>
    <row r="53" spans="2:28" ht="12.75">
      <c r="B53" s="85" t="s">
        <v>100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  <c r="Q53" s="82" t="str">
        <f>B53</f>
        <v>Additional authority expenditure related to special and specific grants</v>
      </c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</row>
    <row r="54" spans="1:29" ht="24.75" customHeight="1">
      <c r="A54" s="114" t="s">
        <v>101</v>
      </c>
      <c r="B54" s="115" t="s">
        <v>102</v>
      </c>
      <c r="C54" s="116" t="s">
        <v>103</v>
      </c>
      <c r="D54" s="117"/>
      <c r="E54" s="118"/>
      <c r="F54" s="93"/>
      <c r="G54" s="94"/>
      <c r="H54" s="93"/>
      <c r="I54" s="94"/>
      <c r="J54" s="95">
        <v>0</v>
      </c>
      <c r="K54" s="96"/>
      <c r="L54" s="96"/>
      <c r="M54" s="96"/>
      <c r="Q54" s="119" t="str">
        <f>B54</f>
        <v>Budget 07-08 T1: 2.1.1 (net)</v>
      </c>
      <c r="R54" s="120" t="str">
        <f>C54</f>
        <v>School Development Grant - non-devolved</v>
      </c>
      <c r="S54" s="120"/>
      <c r="T54" s="120"/>
      <c r="U54" s="101"/>
      <c r="V54" s="101"/>
      <c r="W54" s="101"/>
      <c r="X54" s="101"/>
      <c r="Y54" s="129" t="e">
        <f>IF(AND(J54="",#REF!&lt;&gt;"*"),"",IF(AND(J54="",#REF!="*"),"Error 1.1",IF(ISNUMBER(J54)=FALSE,"Error 1.2","")))</f>
        <v>#REF!</v>
      </c>
      <c r="Z54" s="103"/>
      <c r="AA54" s="103"/>
      <c r="AB54" s="103"/>
      <c r="AC54" s="29" t="e">
        <f>IF(LEN(TRIM(Y54))&gt;0,1,0)</f>
        <v>#REF!</v>
      </c>
    </row>
    <row r="55" spans="1:29" ht="24.75" customHeight="1">
      <c r="A55" s="114" t="s">
        <v>104</v>
      </c>
      <c r="B55" s="115" t="s">
        <v>105</v>
      </c>
      <c r="C55" s="116" t="s">
        <v>106</v>
      </c>
      <c r="D55" s="117"/>
      <c r="E55" s="118"/>
      <c r="F55" s="93"/>
      <c r="G55" s="94"/>
      <c r="H55" s="93"/>
      <c r="I55" s="94"/>
      <c r="J55" s="95">
        <v>313920</v>
      </c>
      <c r="K55" s="96"/>
      <c r="L55" s="96"/>
      <c r="M55" s="96"/>
      <c r="Q55" s="119" t="str">
        <f>B55</f>
        <v>Budget 07-08 T1: 2.1.2 (net)</v>
      </c>
      <c r="R55" s="120" t="str">
        <f>C55</f>
        <v>Other Standards Fund - non-devolved</v>
      </c>
      <c r="S55" s="120"/>
      <c r="T55" s="120"/>
      <c r="U55" s="101"/>
      <c r="V55" s="101"/>
      <c r="W55" s="101"/>
      <c r="X55" s="101"/>
      <c r="Y55" s="129" t="e">
        <f>IF(AND(J55="",#REF!&lt;&gt;"*"),"",IF(AND(J55="",#REF!="*"),"Error 1.1",IF(ISNUMBER(J55)=FALSE,"Error 1.2","")))</f>
        <v>#REF!</v>
      </c>
      <c r="Z55" s="103"/>
      <c r="AA55" s="103"/>
      <c r="AB55" s="103"/>
      <c r="AC55" s="29" t="e">
        <f>IF(LEN(TRIM(Y55))&gt;0,1,0)</f>
        <v>#REF!</v>
      </c>
    </row>
    <row r="56" spans="1:29" ht="24.75" customHeight="1">
      <c r="A56" s="114" t="s">
        <v>107</v>
      </c>
      <c r="B56" s="115" t="s">
        <v>108</v>
      </c>
      <c r="C56" s="116" t="s">
        <v>109</v>
      </c>
      <c r="D56" s="117"/>
      <c r="E56" s="118"/>
      <c r="F56" s="93"/>
      <c r="G56" s="94"/>
      <c r="H56" s="93"/>
      <c r="I56" s="94"/>
      <c r="J56" s="95">
        <v>139550</v>
      </c>
      <c r="K56" s="96"/>
      <c r="L56" s="96"/>
      <c r="M56" s="96"/>
      <c r="Q56" s="119" t="str">
        <f>B56</f>
        <v>Budget 07-08 T1: 2.1.3 (net)</v>
      </c>
      <c r="R56" s="120" t="str">
        <f>C56</f>
        <v>Other specific grants</v>
      </c>
      <c r="S56" s="120"/>
      <c r="T56" s="120"/>
      <c r="U56" s="101"/>
      <c r="V56" s="101"/>
      <c r="W56" s="101"/>
      <c r="X56" s="101"/>
      <c r="Y56" s="129" t="e">
        <f>IF(AND(J56="",#REF!&lt;&gt;"*"),"",IF(AND(J56="",#REF!="*"),"Error 1.1",IF(ISNUMBER(J56)=FALSE,"Error 1.2","")))</f>
        <v>#REF!</v>
      </c>
      <c r="Z56" s="103"/>
      <c r="AA56" s="103"/>
      <c r="AB56" s="103"/>
      <c r="AC56" s="29" t="e">
        <f>IF(LEN(TRIM(Y56))&gt;0,1,0)</f>
        <v>#REF!</v>
      </c>
    </row>
    <row r="57" spans="1:28" ht="12.75">
      <c r="A57" s="144" t="s">
        <v>110</v>
      </c>
      <c r="B57" s="151" t="s">
        <v>111</v>
      </c>
      <c r="C57" s="155"/>
      <c r="D57" s="155"/>
      <c r="E57" s="152"/>
      <c r="F57" s="93"/>
      <c r="G57" s="94"/>
      <c r="H57" s="93"/>
      <c r="I57" s="94"/>
      <c r="J57" s="112">
        <f>SUM(J54:J56)</f>
        <v>453470</v>
      </c>
      <c r="K57" s="96"/>
      <c r="L57" s="96"/>
      <c r="M57" s="96"/>
      <c r="P57" s="153" t="str">
        <f>A57</f>
        <v>R8.4</v>
      </c>
      <c r="Q57" s="162" t="str">
        <f>B57</f>
        <v>Total authority expenditure related to grants</v>
      </c>
      <c r="R57" s="163"/>
      <c r="S57" s="163"/>
      <c r="T57" s="164"/>
      <c r="U57" s="101"/>
      <c r="V57" s="101"/>
      <c r="W57" s="101"/>
      <c r="X57" s="101"/>
      <c r="Y57" s="14"/>
      <c r="Z57" s="103"/>
      <c r="AA57" s="103"/>
      <c r="AB57" s="103"/>
    </row>
    <row r="59" spans="2:28" ht="12.75">
      <c r="B59" s="85" t="s">
        <v>112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Q59" s="82" t="str">
        <f>B59</f>
        <v>CERA  (LA Central functions)</v>
      </c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</row>
    <row r="60" spans="1:29" ht="12.75">
      <c r="A60" s="136" t="s">
        <v>113</v>
      </c>
      <c r="B60" s="157" t="s">
        <v>114</v>
      </c>
      <c r="C60" s="116" t="s">
        <v>115</v>
      </c>
      <c r="D60" s="117"/>
      <c r="E60" s="118"/>
      <c r="F60" s="116" t="s">
        <v>116</v>
      </c>
      <c r="G60" s="118"/>
      <c r="H60" s="116" t="s">
        <v>117</v>
      </c>
      <c r="I60" s="118"/>
      <c r="J60" s="165">
        <v>0</v>
      </c>
      <c r="K60" s="165">
        <f>SUM('[1]Table A'!I168)</f>
        <v>0</v>
      </c>
      <c r="L60" s="160">
        <f>SUM(K60)-SUM(J60)</f>
        <v>0</v>
      </c>
      <c r="M60" s="160">
        <f>IF(ISERROR((L60/J60)*100),0,(L60/J60)*100)</f>
        <v>0</v>
      </c>
      <c r="P60" s="97" t="str">
        <f>A60</f>
        <v>R9.1</v>
      </c>
      <c r="Q60" s="14" t="str">
        <f>B60</f>
        <v>Budget 07-08 T1: 2.5.1 (net)</v>
      </c>
      <c r="R60" s="15" t="str">
        <f>C60</f>
        <v>CERA (LA Central functions)</v>
      </c>
      <c r="S60" s="15"/>
      <c r="T60" s="15"/>
      <c r="U60" s="166" t="str">
        <f>F60</f>
        <v>Outturn 07-08 TA: 102 (NRE)</v>
      </c>
      <c r="V60" s="166"/>
      <c r="W60" s="166" t="str">
        <f>H60</f>
        <v>CERA (LA)</v>
      </c>
      <c r="X60" s="166"/>
      <c r="Y60" s="102" t="e">
        <f>IF(AND(J60="",#REF!&lt;&gt;"*"),"",IF(AND(J60="",#REF!="*"),"Error 1.1",IF(ISNUMBER(J60)=FALSE,"Error 1.2","")))</f>
        <v>#REF!</v>
      </c>
      <c r="Z60" s="167" t="e">
        <f>IF(AND(K60="",#REF!&lt;&gt;"*"),"",IF(AND(K60="",#REF!="*"),"Error 1.1",IF(ISNUMBER(K60)=FALSE,"Error 1.2",IF(ABS(K60-'[1]Table A'!I168)&gt;1000,"Error 4.18.9",""))))</f>
        <v>#REF!</v>
      </c>
      <c r="AA60" s="168"/>
      <c r="AB60" s="168"/>
      <c r="AC60" s="29" t="e">
        <f>IF(LEN(TRIM(Y60&amp;Z60))&gt;0,1,0)</f>
        <v>#REF!</v>
      </c>
    </row>
    <row r="62" spans="1:28" ht="12.75">
      <c r="A62" s="144" t="s">
        <v>118</v>
      </c>
      <c r="B62" s="158" t="s">
        <v>119</v>
      </c>
      <c r="C62" s="158"/>
      <c r="D62" s="158"/>
      <c r="E62" s="158"/>
      <c r="F62" s="158"/>
      <c r="G62" s="158"/>
      <c r="H62" s="158"/>
      <c r="I62" s="158"/>
      <c r="J62" s="159">
        <f>SUM(J45,J51,J57,J60)</f>
        <v>12055150</v>
      </c>
      <c r="K62" s="159">
        <f>SUM(K45,K51,K60)</f>
        <v>12509698.07</v>
      </c>
      <c r="L62" s="160">
        <f>SUM(K62)-SUM(J62)</f>
        <v>454548.0700000003</v>
      </c>
      <c r="M62" s="160">
        <f>IF(ISERROR((L62/J62)*100),0,(L62/J62)*100)</f>
        <v>3.770571664392399</v>
      </c>
      <c r="P62" s="97" t="str">
        <f>A62</f>
        <v>R10.1</v>
      </c>
      <c r="Q62" s="98" t="str">
        <f>B62</f>
        <v>Total LA Central Functions</v>
      </c>
      <c r="R62" s="99"/>
      <c r="S62" s="99"/>
      <c r="T62" s="99"/>
      <c r="U62" s="99"/>
      <c r="V62" s="99"/>
      <c r="W62" s="99"/>
      <c r="X62" s="100"/>
      <c r="Y62" s="161"/>
      <c r="Z62" s="161"/>
      <c r="AA62" s="161"/>
      <c r="AB62" s="161"/>
    </row>
    <row r="64" spans="2:28" ht="12.75">
      <c r="B64" s="85" t="s">
        <v>120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Q64" s="82" t="str">
        <f>B64</f>
        <v>Youth &amp; Community and Adult</v>
      </c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4"/>
    </row>
    <row r="65" spans="1:29" ht="52.5" customHeight="1">
      <c r="A65" s="136" t="s">
        <v>121</v>
      </c>
      <c r="B65" s="157" t="s">
        <v>122</v>
      </c>
      <c r="C65" s="116" t="s">
        <v>123</v>
      </c>
      <c r="D65" s="117"/>
      <c r="E65" s="118"/>
      <c r="F65" s="116" t="s">
        <v>124</v>
      </c>
      <c r="G65" s="118"/>
      <c r="H65" s="116" t="s">
        <v>125</v>
      </c>
      <c r="I65" s="118"/>
      <c r="J65" s="95">
        <v>2345101</v>
      </c>
      <c r="K65" s="95">
        <f>SUM('[1]Table A'!O162)</f>
        <v>1960742.0499999998</v>
      </c>
      <c r="L65" s="112">
        <f>SUM(K65)-SUM(J65)</f>
        <v>-384358.9500000002</v>
      </c>
      <c r="M65" s="112">
        <f>IF(ISERROR((L65/J65)*100),0,(L65/J65)*100)</f>
        <v>-16.389867643227316</v>
      </c>
      <c r="P65" s="153" t="str">
        <f>A65</f>
        <v>R11.1</v>
      </c>
      <c r="Q65" s="119" t="str">
        <f>B65</f>
        <v>Budget 07-08 T1: 2.7.1 to 2.7.5 (net)</v>
      </c>
      <c r="R65" s="120" t="str">
        <f>C65</f>
        <v>Youth Service + adult and community learning + mandatory awards + student support + discretionary awards</v>
      </c>
      <c r="S65" s="120"/>
      <c r="T65" s="120"/>
      <c r="U65" s="120" t="str">
        <f>F65</f>
        <v>Outturn 07-08 TA:  99 (NRE)</v>
      </c>
      <c r="V65" s="120"/>
      <c r="W65" s="120" t="str">
        <f>H65</f>
        <v>Youth and Community Sub Total</v>
      </c>
      <c r="X65" s="120"/>
      <c r="Y65" s="129" t="e">
        <f>IF(AND(J65="",#REF!&lt;&gt;"*"),"",IF(AND(J65="",#REF!="*"),"Error 1.1",IF(ISNUMBER(J65)=FALSE,"Error 1.2","")))</f>
        <v>#REF!</v>
      </c>
      <c r="Z65" s="129" t="e">
        <f>IF(AND(K65="",#REF!&lt;&gt;"*"),"",IF(AND(K65="",#REF!="*"),"Error 1.1",IF(ISNUMBER(K65)=FALSE,"Error 1.2",IF(ABS(K65-'[1]Table A'!O162)&gt;1000,"Error 4.18.10",""))))</f>
        <v>#REF!</v>
      </c>
      <c r="AA65" s="14"/>
      <c r="AB65" s="14"/>
      <c r="AC65" s="29" t="e">
        <f>IF(LEN(TRIM(Y65&amp;Z65))&gt;0,1,0)</f>
        <v>#REF!</v>
      </c>
    </row>
    <row r="66" spans="1:28" ht="12.75">
      <c r="A66" s="113"/>
      <c r="B66" s="85" t="s">
        <v>126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  <c r="Q66" s="82" t="str">
        <f>B66</f>
        <v>CERA  (Youth &amp; Community)</v>
      </c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4"/>
    </row>
    <row r="67" spans="1:29" ht="18" customHeight="1">
      <c r="A67" s="136" t="s">
        <v>127</v>
      </c>
      <c r="B67" s="157" t="s">
        <v>128</v>
      </c>
      <c r="C67" s="116" t="s">
        <v>129</v>
      </c>
      <c r="D67" s="117"/>
      <c r="E67" s="118"/>
      <c r="F67" s="116" t="s">
        <v>130</v>
      </c>
      <c r="G67" s="118"/>
      <c r="H67" s="116" t="s">
        <v>129</v>
      </c>
      <c r="I67" s="118"/>
      <c r="J67" s="95">
        <v>209700</v>
      </c>
      <c r="K67" s="95">
        <f>SUM('[1]Table A'!I169)</f>
        <v>0</v>
      </c>
      <c r="L67" s="112">
        <f>SUM(K67)-SUM(J67)</f>
        <v>-209700</v>
      </c>
      <c r="M67" s="112">
        <f>IF(ISERROR((L67/J67)*100),0,(L67/J67)*100)</f>
        <v>-100</v>
      </c>
      <c r="P67" s="153" t="str">
        <f>A67</f>
        <v>R11.2</v>
      </c>
      <c r="Q67" s="169" t="str">
        <f>B67</f>
        <v>Budget 07-08 T1: 2.7.6 (net)</v>
      </c>
      <c r="R67" s="170" t="str">
        <f>C67</f>
        <v>CERA (Youth and Community)</v>
      </c>
      <c r="S67" s="170"/>
      <c r="T67" s="170"/>
      <c r="U67" s="171" t="str">
        <f>F67</f>
        <v>Outturn 07-08 TA: 103 (NCE)</v>
      </c>
      <c r="V67" s="171"/>
      <c r="W67" s="171" t="str">
        <f>H67</f>
        <v>CERA (Youth and Community)</v>
      </c>
      <c r="X67" s="171"/>
      <c r="Y67" s="129" t="e">
        <f>IF(AND(J67="",#REF!&lt;&gt;"*"),"",IF(AND(J67="",#REF!="*"),"Error 1.1",IF(ISNUMBER(J67)=FALSE,"Error 1.2","")))</f>
        <v>#REF!</v>
      </c>
      <c r="Z67" s="129" t="e">
        <f>IF(AND(K67="",#REF!&lt;&gt;"*"),"",IF(AND(K67="",#REF!="*"),"Error 1.1",IF(ISNUMBER(K67)=FALSE,"Error 1.2",IF(ABS(K67-'[1]Table A'!I169)&gt;1000,"Error 4.18.11",""))))</f>
        <v>#REF!</v>
      </c>
      <c r="AA67" s="172"/>
      <c r="AB67" s="172"/>
      <c r="AC67" s="29" t="e">
        <f>IF(LEN(TRIM(Y67&amp;Z67))&gt;0,1,0)</f>
        <v>#REF!</v>
      </c>
    </row>
    <row r="68" spans="1:28" ht="12.75">
      <c r="A68" s="144" t="s">
        <v>131</v>
      </c>
      <c r="B68" s="158" t="s">
        <v>132</v>
      </c>
      <c r="C68" s="158"/>
      <c r="D68" s="158"/>
      <c r="E68" s="158"/>
      <c r="F68" s="158"/>
      <c r="G68" s="158"/>
      <c r="H68" s="158"/>
      <c r="I68" s="158"/>
      <c r="J68" s="159">
        <f>SUM(J65,J67)</f>
        <v>2554801</v>
      </c>
      <c r="K68" s="159">
        <f>SUM(K65,K67)</f>
        <v>1960742.0499999998</v>
      </c>
      <c r="L68" s="160">
        <f>SUM(K68)-SUM(J68)</f>
        <v>-594058.9500000002</v>
      </c>
      <c r="M68" s="112">
        <f>IF(ISERROR((L68/J68)*100),0,(L68/J68)*100)</f>
        <v>-23.25265059783522</v>
      </c>
      <c r="P68" s="97" t="str">
        <f>A68</f>
        <v>R11.3</v>
      </c>
      <c r="Q68" s="98" t="str">
        <f>B68</f>
        <v>Total Youth and Community (including CERA)</v>
      </c>
      <c r="R68" s="99"/>
      <c r="S68" s="99"/>
      <c r="T68" s="99"/>
      <c r="U68" s="99"/>
      <c r="V68" s="99"/>
      <c r="W68" s="99"/>
      <c r="X68" s="100"/>
      <c r="Y68" s="161"/>
      <c r="Z68" s="161"/>
      <c r="AA68" s="161"/>
      <c r="AB68" s="161"/>
    </row>
    <row r="70" spans="2:28" ht="12.75">
      <c r="B70" s="85" t="s">
        <v>133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Q70" s="82" t="str">
        <f>B70</f>
        <v>Total "LA Budget" net of grant income</v>
      </c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</row>
    <row r="71" spans="1:29" ht="27" customHeight="1">
      <c r="A71" s="144" t="s">
        <v>134</v>
      </c>
      <c r="B71" s="154" t="s">
        <v>135</v>
      </c>
      <c r="C71" s="151" t="s">
        <v>136</v>
      </c>
      <c r="D71" s="155"/>
      <c r="E71" s="152"/>
      <c r="F71" s="151" t="s">
        <v>137</v>
      </c>
      <c r="G71" s="152"/>
      <c r="H71" s="151" t="s">
        <v>138</v>
      </c>
      <c r="I71" s="152"/>
      <c r="J71" s="112">
        <f>SUM(J62,J68)</f>
        <v>14609951</v>
      </c>
      <c r="K71" s="112">
        <f>SUM(K62,K68)</f>
        <v>14470440.120000001</v>
      </c>
      <c r="L71" s="112">
        <f>SUM(K71)-SUM(J71)</f>
        <v>-139510.87999999896</v>
      </c>
      <c r="M71" s="112">
        <f>IF(ISERROR((L71/J71)*100),0,(L71/J71)*100)</f>
        <v>-0.9549031341720378</v>
      </c>
      <c r="P71" s="153" t="str">
        <f>A71</f>
        <v>R12.1</v>
      </c>
      <c r="Q71" s="169" t="str">
        <f>B71</f>
        <v>Budget 07-08 T1: 2.8.1 (net)</v>
      </c>
      <c r="R71" s="170" t="str">
        <f>C71</f>
        <v>Total LA Budget</v>
      </c>
      <c r="S71" s="170"/>
      <c r="T71" s="170"/>
      <c r="U71" s="171" t="str">
        <f>F71</f>
        <v>R10.1 + R11.3</v>
      </c>
      <c r="V71" s="171"/>
      <c r="W71" s="173" t="str">
        <f>H71</f>
        <v>Sum of "LA Budget" lines in Outturn</v>
      </c>
      <c r="X71" s="174"/>
      <c r="Y71" s="172"/>
      <c r="Z71" s="172"/>
      <c r="AA71" s="172"/>
      <c r="AB71" s="156">
        <f>IF(OR(M71&gt;5,M71&lt;-5),"Warning 4.1","")</f>
      </c>
      <c r="AC71" s="29">
        <f>IF(LEN(TRIM(AB71))&gt;0,1,0)</f>
        <v>0</v>
      </c>
    </row>
    <row r="73" spans="1:28" ht="12.75">
      <c r="A73" s="79" t="s">
        <v>139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  <c r="P73" s="82" t="str">
        <f>A73</f>
        <v>Education Budget</v>
      </c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4"/>
    </row>
    <row r="75" spans="2:28" ht="12.75">
      <c r="B75" s="85" t="s">
        <v>140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7"/>
      <c r="Q75" s="82" t="str">
        <f>B75</f>
        <v>Total Education Budget / Expenditure net of grant income</v>
      </c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4"/>
    </row>
    <row r="76" spans="1:29" ht="41.25" customHeight="1">
      <c r="A76" s="144" t="s">
        <v>141</v>
      </c>
      <c r="B76" s="175" t="s">
        <v>142</v>
      </c>
      <c r="C76" s="176" t="s">
        <v>143</v>
      </c>
      <c r="D76" s="177"/>
      <c r="E76" s="178"/>
      <c r="F76" s="151" t="s">
        <v>144</v>
      </c>
      <c r="G76" s="152"/>
      <c r="H76" s="151" t="s">
        <v>145</v>
      </c>
      <c r="I76" s="152"/>
      <c r="J76" s="112">
        <f>SUM(J31,J71)</f>
        <v>173060139</v>
      </c>
      <c r="K76" s="112">
        <f>SUM('[1]Table A'!O175)</f>
        <v>175788181.66</v>
      </c>
      <c r="L76" s="112">
        <f>SUM(K76)-SUM(J76)</f>
        <v>2728042.6599999964</v>
      </c>
      <c r="M76" s="112">
        <f>IF(ISERROR((L76/J76)*100),0,(L76/J76)*100)</f>
        <v>1.5763552923067956</v>
      </c>
      <c r="P76" s="153" t="str">
        <f>A76</f>
        <v>R13.1</v>
      </c>
      <c r="Q76" s="179" t="str">
        <f>B76</f>
        <v>R4.1 + R12.1</v>
      </c>
      <c r="R76" s="180" t="str">
        <f>C76</f>
        <v>Total Education revenue expenditure less grants scored gross</v>
      </c>
      <c r="S76" s="180"/>
      <c r="T76" s="180"/>
      <c r="U76" s="181" t="str">
        <f>F76</f>
        <v>Outturn 2007-08 TA: 106 (NRE)</v>
      </c>
      <c r="V76" s="181"/>
      <c r="W76" s="173" t="str">
        <f>H76</f>
        <v>Total Education Spending (unadjusted for school balances)</v>
      </c>
      <c r="X76" s="174"/>
      <c r="Y76" s="172"/>
      <c r="Z76" s="172"/>
      <c r="AA76" s="172"/>
      <c r="AB76" s="156">
        <f>IF(OR(M76&gt;5,M76&lt;-5),"Warning 4.1","")</f>
      </c>
      <c r="AC76" s="29">
        <f>IF(LEN(TRIM(AB76))&gt;0,1,0)</f>
        <v>0</v>
      </c>
    </row>
    <row r="77" spans="1:29" ht="41.25" customHeight="1">
      <c r="A77" s="144" t="s">
        <v>146</v>
      </c>
      <c r="B77" s="182"/>
      <c r="C77" s="183"/>
      <c r="D77" s="184"/>
      <c r="E77" s="185"/>
      <c r="F77" s="151" t="s">
        <v>147</v>
      </c>
      <c r="G77" s="152"/>
      <c r="H77" s="151" t="s">
        <v>148</v>
      </c>
      <c r="I77" s="152"/>
      <c r="J77" s="112">
        <f>SUM(J31,J71)</f>
        <v>173060139</v>
      </c>
      <c r="K77" s="112">
        <f>SUM(K76)+SUM('[1]Table A'!G98,'[1]Table A'!G99,'[1]Table A'!G100)-SUM('[1]Table A'!G92,'[1]Table A'!G93,'[1]Table A'!G94)</f>
        <v>174520185.25707763</v>
      </c>
      <c r="L77" s="112">
        <f>SUM(K77)-SUM(J77)</f>
        <v>1460046.2570776343</v>
      </c>
      <c r="M77" s="112">
        <f>IF(ISERROR((L77/J77)*100),0,(L77/J77)*100)</f>
        <v>0.8436640959115572</v>
      </c>
      <c r="P77" s="153" t="str">
        <f>A77</f>
        <v>R13.2</v>
      </c>
      <c r="Q77" s="186"/>
      <c r="R77" s="187"/>
      <c r="S77" s="187"/>
      <c r="T77" s="187"/>
      <c r="U77" s="181" t="str">
        <f>F77</f>
        <v>R13.1 + Outturn 07-08 TA: 61 to 63 (col f) - 58 to 60 (col f)</v>
      </c>
      <c r="V77" s="181"/>
      <c r="W77" s="173" t="str">
        <f>H77</f>
        <v>Total Education Spending (adjusted for school balances)</v>
      </c>
      <c r="X77" s="174"/>
      <c r="Y77" s="172"/>
      <c r="Z77" s="172"/>
      <c r="AA77" s="172"/>
      <c r="AB77" s="156">
        <f>IF(OR(M77&gt;5,M77&lt;-5),"Warning 4.1","")</f>
      </c>
      <c r="AC77" s="29">
        <f>IF(LEN(TRIM(AB77))&gt;0,1,0)</f>
        <v>0</v>
      </c>
    </row>
    <row r="79" spans="1:16" ht="12.75">
      <c r="A79" s="70" t="s">
        <v>149</v>
      </c>
      <c r="P79" s="70" t="str">
        <f>A79</f>
        <v>Note 1: Line R5.1 and R13.2 removes any expenditure funded from school balances, and adds in any additions to school balances, to better match with budget and funding.</v>
      </c>
    </row>
    <row r="81" spans="2:13" ht="26.25" customHeight="1">
      <c r="B81" s="188" t="s">
        <v>150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90"/>
    </row>
    <row r="82" spans="2:13" ht="12.75">
      <c r="B82" s="191" t="s">
        <v>151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3"/>
    </row>
    <row r="83" spans="2:13" ht="12.75">
      <c r="B83" s="191" t="s">
        <v>152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3"/>
    </row>
    <row r="84" spans="2:13" ht="12.75">
      <c r="B84" s="191" t="s">
        <v>153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3"/>
    </row>
    <row r="85" spans="2:13" ht="12.75">
      <c r="B85" s="191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3"/>
    </row>
    <row r="86" spans="2:13" ht="12.75">
      <c r="B86" s="191" t="s">
        <v>154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3"/>
    </row>
    <row r="87" spans="2:13" ht="12.75">
      <c r="B87" s="191" t="s">
        <v>155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3"/>
    </row>
    <row r="88" spans="2:13" ht="12.75">
      <c r="B88" s="191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3"/>
    </row>
    <row r="89" spans="2:13" ht="12.75">
      <c r="B89" s="191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3"/>
    </row>
    <row r="90" spans="2:13" ht="12.75"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3"/>
    </row>
    <row r="91" spans="2:13" ht="12.75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6"/>
    </row>
  </sheetData>
  <mergeCells count="253">
    <mergeCell ref="B81:M81"/>
    <mergeCell ref="Q76:Q77"/>
    <mergeCell ref="R76:T77"/>
    <mergeCell ref="U76:V76"/>
    <mergeCell ref="W76:X76"/>
    <mergeCell ref="U77:V77"/>
    <mergeCell ref="W77:X77"/>
    <mergeCell ref="B76:B77"/>
    <mergeCell ref="C76:E77"/>
    <mergeCell ref="F76:G76"/>
    <mergeCell ref="H76:I76"/>
    <mergeCell ref="F77:G77"/>
    <mergeCell ref="H77:I77"/>
    <mergeCell ref="A73:M73"/>
    <mergeCell ref="P73:AB73"/>
    <mergeCell ref="B75:M75"/>
    <mergeCell ref="Q75:AB75"/>
    <mergeCell ref="B70:M70"/>
    <mergeCell ref="Q70:AB70"/>
    <mergeCell ref="C71:E71"/>
    <mergeCell ref="F71:G71"/>
    <mergeCell ref="H71:I71"/>
    <mergeCell ref="R71:T71"/>
    <mergeCell ref="U71:V71"/>
    <mergeCell ref="W71:X71"/>
    <mergeCell ref="U67:V67"/>
    <mergeCell ref="W67:X67"/>
    <mergeCell ref="B68:I68"/>
    <mergeCell ref="Q68:X68"/>
    <mergeCell ref="C67:E67"/>
    <mergeCell ref="F67:G67"/>
    <mergeCell ref="H67:I67"/>
    <mergeCell ref="R67:T67"/>
    <mergeCell ref="U65:V65"/>
    <mergeCell ref="W65:X65"/>
    <mergeCell ref="B66:M66"/>
    <mergeCell ref="Q66:AB66"/>
    <mergeCell ref="C65:E65"/>
    <mergeCell ref="F65:G65"/>
    <mergeCell ref="H65:I65"/>
    <mergeCell ref="R65:T65"/>
    <mergeCell ref="B62:I62"/>
    <mergeCell ref="Q62:X62"/>
    <mergeCell ref="B64:M64"/>
    <mergeCell ref="Q64:AB64"/>
    <mergeCell ref="B59:M59"/>
    <mergeCell ref="Q59:AB59"/>
    <mergeCell ref="C60:E60"/>
    <mergeCell ref="F60:G60"/>
    <mergeCell ref="H60:I60"/>
    <mergeCell ref="R60:T60"/>
    <mergeCell ref="U60:V60"/>
    <mergeCell ref="W60:X60"/>
    <mergeCell ref="U56:V56"/>
    <mergeCell ref="W56:X56"/>
    <mergeCell ref="B57:E57"/>
    <mergeCell ref="F57:G57"/>
    <mergeCell ref="H57:I57"/>
    <mergeCell ref="Q57:T57"/>
    <mergeCell ref="U57:V57"/>
    <mergeCell ref="W57:X57"/>
    <mergeCell ref="C56:E56"/>
    <mergeCell ref="F56:G56"/>
    <mergeCell ref="H56:I56"/>
    <mergeCell ref="R56:T56"/>
    <mergeCell ref="U54:V54"/>
    <mergeCell ref="W54:X54"/>
    <mergeCell ref="C55:E55"/>
    <mergeCell ref="F55:G55"/>
    <mergeCell ref="H55:I55"/>
    <mergeCell ref="R55:T55"/>
    <mergeCell ref="U55:V55"/>
    <mergeCell ref="W55:X55"/>
    <mergeCell ref="C54:E54"/>
    <mergeCell ref="F54:G54"/>
    <mergeCell ref="H54:I54"/>
    <mergeCell ref="R54:T54"/>
    <mergeCell ref="B51:I51"/>
    <mergeCell ref="Q51:X51"/>
    <mergeCell ref="B53:M53"/>
    <mergeCell ref="Q53:AB53"/>
    <mergeCell ref="U49:V49"/>
    <mergeCell ref="W49:X49"/>
    <mergeCell ref="C50:E50"/>
    <mergeCell ref="F50:G50"/>
    <mergeCell ref="H50:I50"/>
    <mergeCell ref="R50:T50"/>
    <mergeCell ref="U50:V50"/>
    <mergeCell ref="W50:X50"/>
    <mergeCell ref="C49:E49"/>
    <mergeCell ref="F49:G49"/>
    <mergeCell ref="H49:I49"/>
    <mergeCell ref="R49:T49"/>
    <mergeCell ref="B47:M47"/>
    <mergeCell ref="Q47:AB47"/>
    <mergeCell ref="C48:E48"/>
    <mergeCell ref="F48:G48"/>
    <mergeCell ref="H48:I48"/>
    <mergeCell ref="R48:T48"/>
    <mergeCell ref="U48:V48"/>
    <mergeCell ref="W48:X48"/>
    <mergeCell ref="U44:V44"/>
    <mergeCell ref="W44:X44"/>
    <mergeCell ref="B45:I45"/>
    <mergeCell ref="Q45:X45"/>
    <mergeCell ref="C44:E44"/>
    <mergeCell ref="F44:G44"/>
    <mergeCell ref="H44:I44"/>
    <mergeCell ref="R44:T44"/>
    <mergeCell ref="B42:M42"/>
    <mergeCell ref="Q42:AB42"/>
    <mergeCell ref="C43:E43"/>
    <mergeCell ref="F43:G43"/>
    <mergeCell ref="H43:I43"/>
    <mergeCell ref="R43:T43"/>
    <mergeCell ref="U43:V43"/>
    <mergeCell ref="W43:X43"/>
    <mergeCell ref="A38:M38"/>
    <mergeCell ref="P38:AB38"/>
    <mergeCell ref="B40:M40"/>
    <mergeCell ref="Q40:AB40"/>
    <mergeCell ref="B35:M35"/>
    <mergeCell ref="Q35:AB35"/>
    <mergeCell ref="C36:E36"/>
    <mergeCell ref="F36:G36"/>
    <mergeCell ref="H36:I36"/>
    <mergeCell ref="R36:T36"/>
    <mergeCell ref="U36:V36"/>
    <mergeCell ref="W36:X36"/>
    <mergeCell ref="U31:V31"/>
    <mergeCell ref="W31:X31"/>
    <mergeCell ref="C33:E33"/>
    <mergeCell ref="F33:G33"/>
    <mergeCell ref="H33:I33"/>
    <mergeCell ref="R33:T33"/>
    <mergeCell ref="U33:V33"/>
    <mergeCell ref="W33:X33"/>
    <mergeCell ref="C31:E31"/>
    <mergeCell ref="F31:G31"/>
    <mergeCell ref="H31:I31"/>
    <mergeCell ref="Q31:T31"/>
    <mergeCell ref="U28:V28"/>
    <mergeCell ref="W28:X28"/>
    <mergeCell ref="B30:M30"/>
    <mergeCell ref="Q30:AB30"/>
    <mergeCell ref="C28:E28"/>
    <mergeCell ref="F28:G28"/>
    <mergeCell ref="H28:I28"/>
    <mergeCell ref="R28:T28"/>
    <mergeCell ref="U26:V26"/>
    <mergeCell ref="W26:X26"/>
    <mergeCell ref="C27:E27"/>
    <mergeCell ref="F27:G27"/>
    <mergeCell ref="H27:I27"/>
    <mergeCell ref="R27:T27"/>
    <mergeCell ref="U27:V27"/>
    <mergeCell ref="W27:X27"/>
    <mergeCell ref="C26:E26"/>
    <mergeCell ref="F26:G26"/>
    <mergeCell ref="H26:I26"/>
    <mergeCell ref="R26:T26"/>
    <mergeCell ref="U23:V23"/>
    <mergeCell ref="W23:X23"/>
    <mergeCell ref="B25:M25"/>
    <mergeCell ref="Q25:AB25"/>
    <mergeCell ref="C23:E23"/>
    <mergeCell ref="F23:G23"/>
    <mergeCell ref="H23:I23"/>
    <mergeCell ref="R23:T23"/>
    <mergeCell ref="U21:V21"/>
    <mergeCell ref="W21:X21"/>
    <mergeCell ref="C22:E22"/>
    <mergeCell ref="F22:G22"/>
    <mergeCell ref="H22:I22"/>
    <mergeCell ref="R22:T22"/>
    <mergeCell ref="U22:V22"/>
    <mergeCell ref="W22:X22"/>
    <mergeCell ref="C21:E21"/>
    <mergeCell ref="F21:G21"/>
    <mergeCell ref="H21:I21"/>
    <mergeCell ref="R21:T21"/>
    <mergeCell ref="U19:V19"/>
    <mergeCell ref="W19:X19"/>
    <mergeCell ref="C20:E20"/>
    <mergeCell ref="F20:G20"/>
    <mergeCell ref="H20:I20"/>
    <mergeCell ref="R20:T20"/>
    <mergeCell ref="U20:V20"/>
    <mergeCell ref="W20:X20"/>
    <mergeCell ref="C19:E19"/>
    <mergeCell ref="F19:G19"/>
    <mergeCell ref="H19:I19"/>
    <mergeCell ref="R19:T19"/>
    <mergeCell ref="U16:V16"/>
    <mergeCell ref="W16:X16"/>
    <mergeCell ref="B18:M18"/>
    <mergeCell ref="Q18:AB18"/>
    <mergeCell ref="B16:E16"/>
    <mergeCell ref="F16:G16"/>
    <mergeCell ref="H16:I16"/>
    <mergeCell ref="Q16:T16"/>
    <mergeCell ref="U14:V14"/>
    <mergeCell ref="W14:X14"/>
    <mergeCell ref="B15:E15"/>
    <mergeCell ref="F15:G15"/>
    <mergeCell ref="H15:I15"/>
    <mergeCell ref="Q15:T15"/>
    <mergeCell ref="U15:V15"/>
    <mergeCell ref="W15:X15"/>
    <mergeCell ref="B14:E14"/>
    <mergeCell ref="F14:G14"/>
    <mergeCell ref="H14:I14"/>
    <mergeCell ref="Q14:T14"/>
    <mergeCell ref="A11:M11"/>
    <mergeCell ref="P11:AB11"/>
    <mergeCell ref="B13:M13"/>
    <mergeCell ref="Q13:AB13"/>
    <mergeCell ref="B9:E9"/>
    <mergeCell ref="F9:I9"/>
    <mergeCell ref="Q9:T9"/>
    <mergeCell ref="U9:X9"/>
    <mergeCell ref="AA7:AA8"/>
    <mergeCell ref="AB7:AB8"/>
    <mergeCell ref="B8:E8"/>
    <mergeCell ref="F8:I8"/>
    <mergeCell ref="Q8:T8"/>
    <mergeCell ref="U8:X8"/>
    <mergeCell ref="U4:W4"/>
    <mergeCell ref="AA4:AB4"/>
    <mergeCell ref="B7:I7"/>
    <mergeCell ref="J7:J8"/>
    <mergeCell ref="K7:K8"/>
    <mergeCell ref="L7:L8"/>
    <mergeCell ref="M7:M8"/>
    <mergeCell ref="Q7:X7"/>
    <mergeCell ref="Y7:Y8"/>
    <mergeCell ref="Z7:Z8"/>
    <mergeCell ref="A4:C5"/>
    <mergeCell ref="F4:H4"/>
    <mergeCell ref="L4:M4"/>
    <mergeCell ref="P4:R5"/>
    <mergeCell ref="P2:R2"/>
    <mergeCell ref="U2:Y2"/>
    <mergeCell ref="AA2:AB2"/>
    <mergeCell ref="A3:C3"/>
    <mergeCell ref="F3:H3"/>
    <mergeCell ref="J3:M3"/>
    <mergeCell ref="P3:R3"/>
    <mergeCell ref="U3:W3"/>
    <mergeCell ref="Y3:AB3"/>
    <mergeCell ref="A2:C2"/>
    <mergeCell ref="F2:J2"/>
    <mergeCell ref="L2:M2"/>
  </mergeCells>
  <conditionalFormatting sqref="K76 J36:K36 J19 J76:J77 J31 J57 J71:K71">
    <cfRule type="expression" priority="1" dxfId="0" stopIfTrue="1">
      <formula>AND(LEFT(X19,1)="E",J19="")</formula>
    </cfRule>
    <cfRule type="expression" priority="2" dxfId="1" stopIfTrue="1">
      <formula>LEFT(X19,1)="E"</formula>
    </cfRule>
  </conditionalFormatting>
  <conditionalFormatting sqref="K4 I4">
    <cfRule type="expression" priority="3" dxfId="2" stopIfTrue="1">
      <formula>LEFT(Y4,1)="W"</formula>
    </cfRule>
  </conditionalFormatting>
  <conditionalFormatting sqref="L4:M4 J4 M36 M71 M67:M68 M65 M76:M77">
    <cfRule type="expression" priority="4" dxfId="2" stopIfTrue="1">
      <formula>LEFT(Y4,1)="W"</formula>
    </cfRule>
  </conditionalFormatting>
  <conditionalFormatting sqref="J3:M3 F3:H4">
    <cfRule type="expression" priority="5" dxfId="1" stopIfTrue="1">
      <formula>LEFT(U3,1)="E"</formula>
    </cfRule>
  </conditionalFormatting>
  <conditionalFormatting sqref="I3 E3:E4">
    <cfRule type="expression" priority="6" dxfId="1" stopIfTrue="1">
      <formula>LEFT(U3,1)="E"</formula>
    </cfRule>
  </conditionalFormatting>
  <conditionalFormatting sqref="J14 J16 J20:J21 J26:J28 J54:J56 K22:K23 J33:K33 J43:K44 J48:K50 J60:K60 J65:K65 J67:K67">
    <cfRule type="expression" priority="7" dxfId="0" stopIfTrue="1">
      <formula>AND(LEFT(Y14,1)="E",J14="")</formula>
    </cfRule>
    <cfRule type="expression" priority="8" dxfId="1" stopIfTrue="1">
      <formula>LEFT(Y14,1)="E"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1"/>
  <sheetViews>
    <sheetView workbookViewId="0" topLeftCell="A1">
      <selection activeCell="D29" sqref="D29"/>
    </sheetView>
  </sheetViews>
  <sheetFormatPr defaultColWidth="9.140625" defaultRowHeight="12.75"/>
  <cols>
    <col min="1" max="1" width="3.28125" style="1" customWidth="1"/>
    <col min="2" max="2" width="47.140625" style="1" customWidth="1"/>
    <col min="3" max="3" width="15.8515625" style="1" customWidth="1"/>
    <col min="4" max="4" width="11.7109375" style="1" customWidth="1"/>
    <col min="5" max="5" width="12.57421875" style="1" customWidth="1"/>
    <col min="6" max="6" width="16.00390625" style="1" customWidth="1"/>
    <col min="7" max="7" width="12.00390625" style="1" customWidth="1"/>
    <col min="8" max="8" width="14.57421875" style="1" customWidth="1"/>
    <col min="9" max="9" width="11.57421875" style="1" customWidth="1"/>
    <col min="10" max="10" width="5.28125" style="1" customWidth="1"/>
    <col min="11" max="11" width="11.00390625" style="197" customWidth="1"/>
    <col min="12" max="14" width="11.28125" style="197" customWidth="1"/>
    <col min="15" max="15" width="12.8515625" style="197" customWidth="1"/>
    <col min="16" max="16" width="5.28125" style="1" customWidth="1"/>
    <col min="17" max="21" width="9.57421875" style="1" customWidth="1"/>
    <col min="22" max="22" width="11.00390625" style="1" customWidth="1"/>
    <col min="23" max="23" width="10.7109375" style="1" customWidth="1"/>
    <col min="24" max="24" width="5.28125" style="1" customWidth="1"/>
    <col min="25" max="25" width="11.421875" style="1" customWidth="1"/>
    <col min="26" max="28" width="9.57421875" style="1" customWidth="1"/>
    <col min="29" max="39" width="9.140625" style="1" customWidth="1"/>
    <col min="40" max="40" width="3.7109375" style="261" hidden="1" customWidth="1"/>
    <col min="41" max="41" width="9.140625" style="1" customWidth="1"/>
    <col min="42" max="52" width="10.140625" style="1" customWidth="1"/>
    <col min="53" max="16384" width="9.140625" style="1" customWidth="1"/>
  </cols>
  <sheetData>
    <row r="1" ht="12.75">
      <c r="AN1" s="199">
        <f>IF(ISERROR(SUM(AN3:AN174)),1,SUM(AN3:AN174))</f>
        <v>1</v>
      </c>
    </row>
    <row r="2" spans="1:40" ht="12.75">
      <c r="A2" s="200" t="s">
        <v>0</v>
      </c>
      <c r="B2" s="201"/>
      <c r="D2" s="202" t="s">
        <v>1</v>
      </c>
      <c r="E2" s="90" t="s">
        <v>2</v>
      </c>
      <c r="F2" s="91"/>
      <c r="G2" s="91"/>
      <c r="H2" s="92"/>
      <c r="I2" s="90" t="s">
        <v>3</v>
      </c>
      <c r="J2" s="92"/>
      <c r="K2" s="7">
        <v>312</v>
      </c>
      <c r="L2" s="9"/>
      <c r="AN2" s="16"/>
    </row>
    <row r="3" spans="1:40" ht="12.75">
      <c r="A3" s="203" t="s">
        <v>4</v>
      </c>
      <c r="B3" s="204"/>
      <c r="D3" s="202"/>
      <c r="E3" s="205"/>
      <c r="F3" s="206"/>
      <c r="G3" s="202"/>
      <c r="H3" s="207"/>
      <c r="I3" s="208"/>
      <c r="J3" s="208"/>
      <c r="K3" s="208"/>
      <c r="L3" s="206"/>
      <c r="AN3" s="29" t="e">
        <f>IF(LEN(TRIM(#REF!&amp;#REF!))&gt;0,1,0)</f>
        <v>#REF!</v>
      </c>
    </row>
    <row r="4" spans="1:40" ht="13.5" thickBot="1">
      <c r="A4" s="209" t="s">
        <v>156</v>
      </c>
      <c r="B4" s="210"/>
      <c r="D4" s="202"/>
      <c r="E4" s="211"/>
      <c r="F4" s="212"/>
      <c r="G4" s="202"/>
      <c r="H4" s="213"/>
      <c r="I4" s="90"/>
      <c r="J4" s="92"/>
      <c r="K4" s="38"/>
      <c r="L4" s="22"/>
      <c r="AN4" s="29" t="e">
        <f>IF(LEN(TRIM(#REF!&amp;#REF!&amp;#REF!))&gt;0,1,0)</f>
        <v>#REF!</v>
      </c>
    </row>
    <row r="5" ht="12.75">
      <c r="AN5" s="168"/>
    </row>
    <row r="6" spans="1:40" ht="12.75" customHeight="1">
      <c r="A6" s="214" t="s">
        <v>157</v>
      </c>
      <c r="B6" s="214"/>
      <c r="C6" s="215" t="s">
        <v>158</v>
      </c>
      <c r="D6" s="215" t="s">
        <v>159</v>
      </c>
      <c r="E6" s="215" t="s">
        <v>160</v>
      </c>
      <c r="F6" s="215" t="s">
        <v>161</v>
      </c>
      <c r="G6" s="215" t="s">
        <v>162</v>
      </c>
      <c r="K6" s="216" t="s">
        <v>163</v>
      </c>
      <c r="L6" s="217" t="s">
        <v>164</v>
      </c>
      <c r="M6" s="218"/>
      <c r="N6" s="219"/>
      <c r="AN6" s="168"/>
    </row>
    <row r="7" spans="1:40" ht="12.75" customHeight="1">
      <c r="A7" s="220"/>
      <c r="B7" s="221"/>
      <c r="C7" s="222"/>
      <c r="D7" s="222"/>
      <c r="E7" s="222"/>
      <c r="F7" s="222"/>
      <c r="G7" s="222"/>
      <c r="K7" s="223"/>
      <c r="L7" s="224"/>
      <c r="M7" s="225"/>
      <c r="N7" s="226"/>
      <c r="O7" s="227"/>
      <c r="AN7" s="168"/>
    </row>
    <row r="8" spans="1:40" ht="12.75" customHeight="1">
      <c r="A8" s="228"/>
      <c r="B8" s="229"/>
      <c r="C8" s="222"/>
      <c r="D8" s="222"/>
      <c r="E8" s="222"/>
      <c r="F8" s="222"/>
      <c r="G8" s="222"/>
      <c r="K8" s="223"/>
      <c r="L8" s="218" t="s">
        <v>165</v>
      </c>
      <c r="M8" s="219"/>
      <c r="N8" s="217" t="s">
        <v>166</v>
      </c>
      <c r="O8" s="230"/>
      <c r="AN8" s="168"/>
    </row>
    <row r="9" spans="1:40" ht="12.75">
      <c r="A9" s="228"/>
      <c r="B9" s="229"/>
      <c r="C9" s="231" t="s">
        <v>167</v>
      </c>
      <c r="D9" s="232" t="s">
        <v>167</v>
      </c>
      <c r="E9" s="231" t="s">
        <v>167</v>
      </c>
      <c r="F9" s="231" t="s">
        <v>167</v>
      </c>
      <c r="G9" s="231" t="s">
        <v>167</v>
      </c>
      <c r="K9" s="233"/>
      <c r="L9" s="225"/>
      <c r="M9" s="226"/>
      <c r="N9" s="224"/>
      <c r="O9" s="230"/>
      <c r="AN9" s="168"/>
    </row>
    <row r="10" spans="1:40" ht="12.75">
      <c r="A10" s="235" t="s">
        <v>14</v>
      </c>
      <c r="B10" s="236"/>
      <c r="C10" s="237" t="s">
        <v>15</v>
      </c>
      <c r="D10" s="238" t="s">
        <v>16</v>
      </c>
      <c r="E10" s="238" t="s">
        <v>17</v>
      </c>
      <c r="F10" s="238" t="s">
        <v>18</v>
      </c>
      <c r="G10" s="238" t="s">
        <v>19</v>
      </c>
      <c r="K10" s="239" t="s">
        <v>168</v>
      </c>
      <c r="L10" s="239" t="s">
        <v>169</v>
      </c>
      <c r="M10" s="231" t="s">
        <v>170</v>
      </c>
      <c r="N10" s="240" t="s">
        <v>168</v>
      </c>
      <c r="O10" s="241"/>
      <c r="AN10" s="168"/>
    </row>
    <row r="11" spans="1:40" ht="12.75">
      <c r="A11" s="242" t="s">
        <v>171</v>
      </c>
      <c r="B11" s="242"/>
      <c r="C11" s="243"/>
      <c r="D11" s="244"/>
      <c r="E11" s="244"/>
      <c r="F11" s="244"/>
      <c r="G11" s="245"/>
      <c r="K11" s="246"/>
      <c r="AN11" s="168"/>
    </row>
    <row r="12" spans="1:40" ht="12.75">
      <c r="A12" s="228">
        <v>1</v>
      </c>
      <c r="B12" s="229" t="s">
        <v>172</v>
      </c>
      <c r="C12" s="247">
        <v>202934</v>
      </c>
      <c r="D12" s="247">
        <v>46238230</v>
      </c>
      <c r="E12" s="247">
        <v>53041081</v>
      </c>
      <c r="F12" s="247">
        <v>4153970</v>
      </c>
      <c r="G12" s="248">
        <f>SUM(C12:F12)</f>
        <v>103636215</v>
      </c>
      <c r="O12" s="246"/>
      <c r="AN12" s="29" t="e">
        <f>IF(LEN(TRIM(#REF!&amp;#REF!&amp;#REF!&amp;#REF!&amp;#REF!))&gt;0,1,0)</f>
        <v>#REF!</v>
      </c>
    </row>
    <row r="13" spans="1:40" ht="13.5" thickBot="1">
      <c r="A13" s="228">
        <v>2</v>
      </c>
      <c r="B13" s="229" t="s">
        <v>173</v>
      </c>
      <c r="C13" s="247">
        <v>28721</v>
      </c>
      <c r="D13" s="247">
        <v>1057493</v>
      </c>
      <c r="E13" s="247">
        <v>144459</v>
      </c>
      <c r="F13" s="247">
        <v>45817</v>
      </c>
      <c r="G13" s="248">
        <f>SUM(C13:F13)</f>
        <v>1276490</v>
      </c>
      <c r="O13" s="246"/>
      <c r="AN13" s="29" t="e">
        <f>IF(LEN(TRIM(#REF!&amp;#REF!&amp;#REF!&amp;#REF!&amp;#REF!))&gt;0,1,0)</f>
        <v>#REF!</v>
      </c>
    </row>
    <row r="14" spans="1:40" ht="13.5" hidden="1" thickBot="1">
      <c r="A14" s="228"/>
      <c r="B14" s="229"/>
      <c r="C14" s="249"/>
      <c r="D14" s="249"/>
      <c r="E14" s="249"/>
      <c r="F14" s="249"/>
      <c r="G14" s="249"/>
      <c r="O14" s="246"/>
      <c r="AN14" s="29"/>
    </row>
    <row r="15" spans="1:40" ht="13.5" thickBot="1">
      <c r="A15" s="228">
        <v>3</v>
      </c>
      <c r="B15" s="250" t="s">
        <v>174</v>
      </c>
      <c r="C15" s="251">
        <f>SUM(C12:C13)</f>
        <v>231655</v>
      </c>
      <c r="D15" s="251">
        <f>SUM(D12:D13)</f>
        <v>47295723</v>
      </c>
      <c r="E15" s="252">
        <f>SUM(E12:E13)</f>
        <v>53185540</v>
      </c>
      <c r="F15" s="252">
        <f>SUM(F12:F13)</f>
        <v>4199787</v>
      </c>
      <c r="G15" s="252">
        <f>SUM(C15:F15)</f>
        <v>104912705</v>
      </c>
      <c r="H15" s="229"/>
      <c r="K15" s="253">
        <v>100307025</v>
      </c>
      <c r="L15" s="254">
        <v>0</v>
      </c>
      <c r="M15" s="254">
        <v>0.15</v>
      </c>
      <c r="N15" s="255">
        <v>1000000</v>
      </c>
      <c r="O15" s="256"/>
      <c r="AN15" s="29" t="e">
        <f>IF(LEN(TRIM(#REF!&amp;#REF!&amp;#REF!&amp;#REF!&amp;#REF!))&gt;0,1,0)</f>
        <v>#REF!</v>
      </c>
    </row>
    <row r="16" spans="1:40" ht="12.75">
      <c r="A16" s="228"/>
      <c r="B16" s="229"/>
      <c r="C16" s="249"/>
      <c r="D16" s="249"/>
      <c r="E16" s="249"/>
      <c r="F16" s="249"/>
      <c r="G16" s="249"/>
      <c r="H16" s="229"/>
      <c r="K16" s="257"/>
      <c r="L16" s="258"/>
      <c r="M16" s="258"/>
      <c r="N16" s="257"/>
      <c r="O16" s="259"/>
      <c r="AC16" s="260"/>
      <c r="AN16" s="168"/>
    </row>
    <row r="17" spans="1:40" ht="12.75">
      <c r="A17" s="228">
        <v>4</v>
      </c>
      <c r="B17" s="229" t="s">
        <v>175</v>
      </c>
      <c r="C17" s="247">
        <v>259426</v>
      </c>
      <c r="D17" s="247">
        <v>16301411</v>
      </c>
      <c r="E17" s="247">
        <v>8692512</v>
      </c>
      <c r="F17" s="247">
        <v>2885943</v>
      </c>
      <c r="G17" s="248">
        <f>SUM(C17:F17)</f>
        <v>28139292</v>
      </c>
      <c r="H17" s="229"/>
      <c r="AN17" s="29" t="e">
        <f>IF(LEN(TRIM(#REF!&amp;#REF!&amp;#REF!&amp;#REF!&amp;#REF!))&gt;0,1,0)</f>
        <v>#REF!</v>
      </c>
    </row>
    <row r="18" spans="1:40" ht="12.75">
      <c r="A18" s="261"/>
      <c r="B18" s="261"/>
      <c r="AN18" s="168"/>
    </row>
    <row r="19" spans="1:40" s="197" customFormat="1" ht="12.75">
      <c r="A19" s="262" t="s">
        <v>176</v>
      </c>
      <c r="B19" s="262"/>
      <c r="C19" s="263"/>
      <c r="D19" s="246"/>
      <c r="E19" s="246"/>
      <c r="F19" s="246"/>
      <c r="G19" s="246"/>
      <c r="AN19" s="168"/>
    </row>
    <row r="20" spans="1:40" s="197" customFormat="1" ht="12.75">
      <c r="A20" s="264"/>
      <c r="B20" s="264"/>
      <c r="C20" s="263"/>
      <c r="D20" s="265"/>
      <c r="E20" s="265"/>
      <c r="F20" s="265"/>
      <c r="G20" s="265"/>
      <c r="H20" s="246"/>
      <c r="AN20" s="168"/>
    </row>
    <row r="21" spans="1:40" s="197" customFormat="1" ht="12.75">
      <c r="A21" s="228">
        <v>5</v>
      </c>
      <c r="B21" s="229" t="s">
        <v>177</v>
      </c>
      <c r="C21" s="247">
        <v>20004</v>
      </c>
      <c r="D21" s="247">
        <v>3261976</v>
      </c>
      <c r="E21" s="247">
        <v>2532553</v>
      </c>
      <c r="F21" s="247">
        <v>279684</v>
      </c>
      <c r="G21" s="248">
        <f aca="true" t="shared" si="0" ref="G21:G29">SUM(C21:F21)</f>
        <v>6094217</v>
      </c>
      <c r="AN21" s="29" t="e">
        <f>IF(LEN(TRIM(#REF!&amp;#REF!&amp;#REF!&amp;#REF!&amp;#REF!))&gt;0,1,0)</f>
        <v>#REF!</v>
      </c>
    </row>
    <row r="22" spans="1:40" s="197" customFormat="1" ht="12.75">
      <c r="A22" s="228">
        <v>6</v>
      </c>
      <c r="B22" s="229" t="s">
        <v>178</v>
      </c>
      <c r="C22" s="247">
        <v>23584</v>
      </c>
      <c r="D22" s="247">
        <v>3156981</v>
      </c>
      <c r="E22" s="247">
        <v>4972122</v>
      </c>
      <c r="F22" s="247">
        <v>289294</v>
      </c>
      <c r="G22" s="248">
        <f t="shared" si="0"/>
        <v>8441981</v>
      </c>
      <c r="AN22" s="29" t="e">
        <f>IF(LEN(TRIM(#REF!&amp;#REF!&amp;#REF!&amp;#REF!&amp;#REF!))&gt;0,1,0)</f>
        <v>#REF!</v>
      </c>
    </row>
    <row r="23" spans="1:40" s="197" customFormat="1" ht="12.75">
      <c r="A23" s="228">
        <v>7</v>
      </c>
      <c r="B23" s="229" t="s">
        <v>179</v>
      </c>
      <c r="C23" s="247">
        <v>10346</v>
      </c>
      <c r="D23" s="247">
        <v>218617</v>
      </c>
      <c r="E23" s="247">
        <v>1017265</v>
      </c>
      <c r="F23" s="247">
        <v>83696</v>
      </c>
      <c r="G23" s="248">
        <f t="shared" si="0"/>
        <v>1329924</v>
      </c>
      <c r="AN23" s="29" t="e">
        <f>IF(LEN(TRIM(#REF!&amp;#REF!&amp;#REF!&amp;#REF!&amp;#REF!))&gt;0,1,0)</f>
        <v>#REF!</v>
      </c>
    </row>
    <row r="24" spans="1:40" s="197" customFormat="1" ht="12.75">
      <c r="A24" s="228">
        <v>8</v>
      </c>
      <c r="B24" s="229" t="s">
        <v>180</v>
      </c>
      <c r="C24" s="247">
        <v>2652</v>
      </c>
      <c r="D24" s="247">
        <v>1658632</v>
      </c>
      <c r="E24" s="247">
        <v>319573</v>
      </c>
      <c r="F24" s="247">
        <v>142323</v>
      </c>
      <c r="G24" s="248">
        <f t="shared" si="0"/>
        <v>2123180</v>
      </c>
      <c r="AN24" s="29" t="e">
        <f>IF(LEN(TRIM(#REF!&amp;#REF!&amp;#REF!&amp;#REF!&amp;#REF!))&gt;0,1,0)</f>
        <v>#REF!</v>
      </c>
    </row>
    <row r="25" spans="1:40" s="197" customFormat="1" ht="12.75">
      <c r="A25" s="228">
        <v>9</v>
      </c>
      <c r="B25" s="229" t="s">
        <v>181</v>
      </c>
      <c r="C25" s="247">
        <v>1796</v>
      </c>
      <c r="D25" s="247">
        <v>177861</v>
      </c>
      <c r="E25" s="247">
        <v>494331</v>
      </c>
      <c r="F25" s="247">
        <v>42241</v>
      </c>
      <c r="G25" s="248">
        <f t="shared" si="0"/>
        <v>716229</v>
      </c>
      <c r="AN25" s="29" t="e">
        <f>IF(LEN(TRIM(#REF!&amp;#REF!&amp;#REF!&amp;#REF!&amp;#REF!))&gt;0,1,0)</f>
        <v>#REF!</v>
      </c>
    </row>
    <row r="26" spans="1:40" s="197" customFormat="1" ht="12.75">
      <c r="A26" s="228">
        <v>10</v>
      </c>
      <c r="B26" s="229" t="s">
        <v>182</v>
      </c>
      <c r="C26" s="247">
        <v>2620</v>
      </c>
      <c r="D26" s="247">
        <v>449873</v>
      </c>
      <c r="E26" s="247">
        <v>429570</v>
      </c>
      <c r="F26" s="247">
        <v>88380</v>
      </c>
      <c r="G26" s="248">
        <f t="shared" si="0"/>
        <v>970443</v>
      </c>
      <c r="AN26" s="29" t="e">
        <f>IF(LEN(TRIM(#REF!&amp;#REF!&amp;#REF!&amp;#REF!&amp;#REF!))&gt;0,1,0)</f>
        <v>#REF!</v>
      </c>
    </row>
    <row r="27" spans="1:40" s="197" customFormat="1" ht="12.75">
      <c r="A27" s="228">
        <v>11</v>
      </c>
      <c r="B27" s="229" t="s">
        <v>183</v>
      </c>
      <c r="C27" s="247">
        <v>1025</v>
      </c>
      <c r="D27" s="247">
        <v>388822</v>
      </c>
      <c r="E27" s="247">
        <v>26525</v>
      </c>
      <c r="F27" s="247">
        <v>14905</v>
      </c>
      <c r="G27" s="248">
        <f t="shared" si="0"/>
        <v>431277</v>
      </c>
      <c r="AN27" s="29" t="e">
        <f>IF(LEN(TRIM(#REF!&amp;#REF!&amp;#REF!&amp;#REF!&amp;#REF!))&gt;0,1,0)</f>
        <v>#REF!</v>
      </c>
    </row>
    <row r="28" spans="1:40" s="197" customFormat="1" ht="13.5" thickBot="1">
      <c r="A28" s="228">
        <v>12</v>
      </c>
      <c r="B28" s="229" t="s">
        <v>184</v>
      </c>
      <c r="C28" s="247">
        <v>1611</v>
      </c>
      <c r="D28" s="247">
        <v>137037</v>
      </c>
      <c r="E28" s="247">
        <v>132486</v>
      </c>
      <c r="F28" s="247">
        <v>31097</v>
      </c>
      <c r="G28" s="248">
        <f t="shared" si="0"/>
        <v>302231</v>
      </c>
      <c r="AN28" s="29" t="e">
        <f>IF(LEN(TRIM(#REF!&amp;#REF!&amp;#REF!&amp;#REF!&amp;#REF!))&gt;0,1,0)</f>
        <v>#REF!</v>
      </c>
    </row>
    <row r="29" spans="1:40" s="197" customFormat="1" ht="13.5" thickBot="1">
      <c r="A29" s="228">
        <v>13</v>
      </c>
      <c r="B29" s="250" t="s">
        <v>185</v>
      </c>
      <c r="C29" s="251">
        <f>SUM(C21:C28)</f>
        <v>63638</v>
      </c>
      <c r="D29" s="251">
        <f>SUM(D21:D28)</f>
        <v>9449799</v>
      </c>
      <c r="E29" s="252">
        <f>SUM(E21:E28)</f>
        <v>9924425</v>
      </c>
      <c r="F29" s="252">
        <f>SUM(F21:F28)</f>
        <v>971620</v>
      </c>
      <c r="G29" s="252">
        <f t="shared" si="0"/>
        <v>20409482</v>
      </c>
      <c r="H29" s="229"/>
      <c r="K29" s="253">
        <v>18501941</v>
      </c>
      <c r="L29" s="254">
        <v>-0.05</v>
      </c>
      <c r="M29" s="254">
        <v>0.15</v>
      </c>
      <c r="N29" s="255">
        <v>1000000</v>
      </c>
      <c r="O29" s="256"/>
      <c r="AN29" s="29" t="e">
        <f>IF(LEN(TRIM(#REF!&amp;#REF!&amp;#REF!&amp;#REF!&amp;#REF!))&gt;0,1,0)</f>
        <v>#REF!</v>
      </c>
    </row>
    <row r="30" spans="1:40" ht="12.75">
      <c r="A30" s="261"/>
      <c r="B30" s="261"/>
      <c r="AN30" s="168"/>
    </row>
    <row r="31" spans="1:40" ht="12.75">
      <c r="A31" s="262" t="s">
        <v>186</v>
      </c>
      <c r="B31" s="262"/>
      <c r="C31" s="263"/>
      <c r="D31" s="197"/>
      <c r="E31" s="197"/>
      <c r="F31" s="197"/>
      <c r="G31" s="197"/>
      <c r="H31" s="197"/>
      <c r="AN31" s="168"/>
    </row>
    <row r="32" spans="1:40" ht="12.75">
      <c r="A32" s="264"/>
      <c r="B32" s="264"/>
      <c r="C32" s="263"/>
      <c r="D32" s="197"/>
      <c r="E32" s="197"/>
      <c r="F32" s="197"/>
      <c r="G32" s="197"/>
      <c r="H32" s="197"/>
      <c r="AN32" s="168"/>
    </row>
    <row r="33" spans="1:40" ht="12.75">
      <c r="A33" s="228">
        <v>14</v>
      </c>
      <c r="B33" s="229" t="s">
        <v>187</v>
      </c>
      <c r="C33" s="247">
        <v>2773</v>
      </c>
      <c r="D33" s="247">
        <v>3090487</v>
      </c>
      <c r="E33" s="247">
        <v>3563201</v>
      </c>
      <c r="F33" s="247">
        <v>126548</v>
      </c>
      <c r="G33" s="248">
        <f aca="true" t="shared" si="1" ref="G33:G53">SUM(C33:F33)</f>
        <v>6783009</v>
      </c>
      <c r="H33" s="197"/>
      <c r="AN33" s="29" t="e">
        <f>IF(LEN(TRIM(#REF!&amp;#REF!&amp;#REF!&amp;#REF!&amp;#REF!))&gt;0,1,0)</f>
        <v>#REF!</v>
      </c>
    </row>
    <row r="34" spans="1:40" ht="12.75">
      <c r="A34" s="228">
        <v>15</v>
      </c>
      <c r="B34" s="229" t="s">
        <v>188</v>
      </c>
      <c r="C34" s="247">
        <v>5125</v>
      </c>
      <c r="D34" s="247">
        <v>451735</v>
      </c>
      <c r="E34" s="247">
        <v>201916</v>
      </c>
      <c r="F34" s="247">
        <v>31994</v>
      </c>
      <c r="G34" s="248">
        <f t="shared" si="1"/>
        <v>690770</v>
      </c>
      <c r="H34" s="197"/>
      <c r="AN34" s="29" t="e">
        <f>IF(LEN(TRIM(#REF!&amp;#REF!&amp;#REF!&amp;#REF!&amp;#REF!))&gt;0,1,0)</f>
        <v>#REF!</v>
      </c>
    </row>
    <row r="35" spans="1:40" ht="12.75">
      <c r="A35" s="228">
        <v>16</v>
      </c>
      <c r="B35" s="229" t="s">
        <v>189</v>
      </c>
      <c r="C35" s="247">
        <v>1952</v>
      </c>
      <c r="D35" s="247">
        <v>328821</v>
      </c>
      <c r="E35" s="247">
        <v>548625</v>
      </c>
      <c r="F35" s="247">
        <v>11984</v>
      </c>
      <c r="G35" s="248">
        <f t="shared" si="1"/>
        <v>891382</v>
      </c>
      <c r="H35" s="197"/>
      <c r="AN35" s="29" t="e">
        <f>IF(LEN(TRIM(#REF!&amp;#REF!&amp;#REF!&amp;#REF!&amp;#REF!))&gt;0,1,0)</f>
        <v>#REF!</v>
      </c>
    </row>
    <row r="36" spans="1:40" ht="12.75">
      <c r="A36" s="228">
        <v>17</v>
      </c>
      <c r="B36" s="229" t="s">
        <v>190</v>
      </c>
      <c r="C36" s="247">
        <v>0</v>
      </c>
      <c r="D36" s="247">
        <v>181337</v>
      </c>
      <c r="E36" s="247">
        <v>131278</v>
      </c>
      <c r="F36" s="247">
        <v>11676</v>
      </c>
      <c r="G36" s="248">
        <f t="shared" si="1"/>
        <v>324291</v>
      </c>
      <c r="H36" s="197"/>
      <c r="AN36" s="29" t="e">
        <f>IF(LEN(TRIM(#REF!&amp;#REF!&amp;#REF!&amp;#REF!&amp;#REF!))&gt;0,1,0)</f>
        <v>#REF!</v>
      </c>
    </row>
    <row r="37" spans="1:40" ht="12.75">
      <c r="A37" s="228">
        <v>18</v>
      </c>
      <c r="B37" s="229" t="s">
        <v>191</v>
      </c>
      <c r="C37" s="247">
        <v>8247</v>
      </c>
      <c r="D37" s="247">
        <v>1321638</v>
      </c>
      <c r="E37" s="247">
        <v>1203746</v>
      </c>
      <c r="F37" s="247">
        <v>105133</v>
      </c>
      <c r="G37" s="248">
        <f t="shared" si="1"/>
        <v>2638764</v>
      </c>
      <c r="H37" s="197"/>
      <c r="AN37" s="29" t="e">
        <f>IF(LEN(TRIM(#REF!&amp;#REF!&amp;#REF!&amp;#REF!&amp;#REF!))&gt;0,1,0)</f>
        <v>#REF!</v>
      </c>
    </row>
    <row r="38" spans="1:40" ht="12.75">
      <c r="A38" s="228">
        <v>19</v>
      </c>
      <c r="B38" s="229" t="s">
        <v>192</v>
      </c>
      <c r="C38" s="247">
        <v>7622</v>
      </c>
      <c r="D38" s="247">
        <v>887639</v>
      </c>
      <c r="E38" s="247">
        <v>428177</v>
      </c>
      <c r="F38" s="247">
        <v>847</v>
      </c>
      <c r="G38" s="248">
        <f t="shared" si="1"/>
        <v>1324285</v>
      </c>
      <c r="H38" s="197"/>
      <c r="AN38" s="29" t="e">
        <f>IF(LEN(TRIM(#REF!&amp;#REF!&amp;#REF!&amp;#REF!&amp;#REF!))&gt;0,1,0)</f>
        <v>#REF!</v>
      </c>
    </row>
    <row r="39" spans="1:40" ht="12.75">
      <c r="A39" s="228">
        <v>20</v>
      </c>
      <c r="B39" s="229" t="s">
        <v>193</v>
      </c>
      <c r="C39" s="247">
        <v>2940</v>
      </c>
      <c r="D39" s="247">
        <v>626829</v>
      </c>
      <c r="E39" s="247">
        <v>496588</v>
      </c>
      <c r="F39" s="247">
        <v>40842</v>
      </c>
      <c r="G39" s="248">
        <f t="shared" si="1"/>
        <v>1167199</v>
      </c>
      <c r="H39" s="197"/>
      <c r="AN39" s="29" t="e">
        <f>IF(LEN(TRIM(#REF!&amp;#REF!&amp;#REF!&amp;#REF!&amp;#REF!))&gt;0,1,0)</f>
        <v>#REF!</v>
      </c>
    </row>
    <row r="40" spans="1:40" ht="12.75">
      <c r="A40" s="228">
        <v>21</v>
      </c>
      <c r="B40" s="229" t="s">
        <v>194</v>
      </c>
      <c r="C40" s="247">
        <v>12244</v>
      </c>
      <c r="D40" s="247">
        <v>4003691</v>
      </c>
      <c r="E40" s="247">
        <v>3889032</v>
      </c>
      <c r="F40" s="247">
        <v>230853</v>
      </c>
      <c r="G40" s="248">
        <f t="shared" si="1"/>
        <v>8135820</v>
      </c>
      <c r="H40" s="197"/>
      <c r="AN40" s="29" t="e">
        <f>IF(LEN(TRIM(#REF!&amp;#REF!&amp;#REF!&amp;#REF!&amp;#REF!))&gt;0,1,0)</f>
        <v>#REF!</v>
      </c>
    </row>
    <row r="41" spans="1:40" ht="12.75">
      <c r="A41" s="228">
        <v>22</v>
      </c>
      <c r="B41" s="229" t="s">
        <v>195</v>
      </c>
      <c r="C41" s="247">
        <v>11791</v>
      </c>
      <c r="D41" s="247">
        <v>1705262</v>
      </c>
      <c r="E41" s="247">
        <v>1842586</v>
      </c>
      <c r="F41" s="247">
        <v>88288</v>
      </c>
      <c r="G41" s="248">
        <f t="shared" si="1"/>
        <v>3647927</v>
      </c>
      <c r="H41" s="197"/>
      <c r="AN41" s="29" t="e">
        <f>IF(LEN(TRIM(#REF!&amp;#REF!&amp;#REF!&amp;#REF!&amp;#REF!))&gt;0,1,0)</f>
        <v>#REF!</v>
      </c>
    </row>
    <row r="42" spans="1:40" ht="12.75">
      <c r="A42" s="228">
        <v>23</v>
      </c>
      <c r="B42" s="229" t="s">
        <v>196</v>
      </c>
      <c r="C42" s="247">
        <v>0</v>
      </c>
      <c r="D42" s="247">
        <v>0</v>
      </c>
      <c r="E42" s="247">
        <v>1566305</v>
      </c>
      <c r="F42" s="247">
        <v>8326</v>
      </c>
      <c r="G42" s="248">
        <f t="shared" si="1"/>
        <v>1574631</v>
      </c>
      <c r="H42" s="197"/>
      <c r="AN42" s="29" t="e">
        <f>IF(LEN(TRIM(#REF!&amp;#REF!&amp;#REF!&amp;#REF!&amp;#REF!))&gt;0,1,0)</f>
        <v>#REF!</v>
      </c>
    </row>
    <row r="43" spans="1:40" ht="12.75">
      <c r="A43" s="228">
        <v>24</v>
      </c>
      <c r="B43" s="229" t="s">
        <v>197</v>
      </c>
      <c r="C43" s="247">
        <v>12575</v>
      </c>
      <c r="D43" s="247">
        <v>1115027</v>
      </c>
      <c r="E43" s="247">
        <v>1658013</v>
      </c>
      <c r="F43" s="247">
        <v>94068</v>
      </c>
      <c r="G43" s="248">
        <f t="shared" si="1"/>
        <v>2879683</v>
      </c>
      <c r="H43" s="197"/>
      <c r="AN43" s="29" t="e">
        <f>IF(LEN(TRIM(#REF!&amp;#REF!&amp;#REF!&amp;#REF!&amp;#REF!))&gt;0,1,0)</f>
        <v>#REF!</v>
      </c>
    </row>
    <row r="44" spans="1:40" ht="12.75">
      <c r="A44" s="228">
        <v>25</v>
      </c>
      <c r="B44" s="229" t="s">
        <v>198</v>
      </c>
      <c r="C44" s="247">
        <v>2380</v>
      </c>
      <c r="D44" s="247">
        <v>515542</v>
      </c>
      <c r="E44" s="247">
        <v>664348</v>
      </c>
      <c r="F44" s="247">
        <v>43053</v>
      </c>
      <c r="G44" s="248">
        <f t="shared" si="1"/>
        <v>1225323</v>
      </c>
      <c r="H44" s="197"/>
      <c r="AN44" s="29" t="e">
        <f>IF(LEN(TRIM(#REF!&amp;#REF!&amp;#REF!&amp;#REF!&amp;#REF!))&gt;0,1,0)</f>
        <v>#REF!</v>
      </c>
    </row>
    <row r="45" spans="1:40" ht="12.75">
      <c r="A45" s="228">
        <v>26</v>
      </c>
      <c r="B45" s="229" t="s">
        <v>199</v>
      </c>
      <c r="C45" s="247">
        <v>0</v>
      </c>
      <c r="D45" s="247">
        <v>161125</v>
      </c>
      <c r="E45" s="247">
        <v>478512</v>
      </c>
      <c r="F45" s="247">
        <v>0</v>
      </c>
      <c r="G45" s="248">
        <f t="shared" si="1"/>
        <v>639637</v>
      </c>
      <c r="H45" s="197"/>
      <c r="AN45" s="29" t="e">
        <f>IF(LEN(TRIM(#REF!&amp;#REF!&amp;#REF!&amp;#REF!&amp;#REF!))&gt;0,1,0)</f>
        <v>#REF!</v>
      </c>
    </row>
    <row r="46" spans="1:40" ht="12.75">
      <c r="A46" s="228">
        <v>27</v>
      </c>
      <c r="B46" s="229" t="s">
        <v>200</v>
      </c>
      <c r="C46" s="247">
        <v>6151</v>
      </c>
      <c r="D46" s="247">
        <v>1304310</v>
      </c>
      <c r="E46" s="247">
        <v>1727380</v>
      </c>
      <c r="F46" s="247">
        <v>142163</v>
      </c>
      <c r="G46" s="248">
        <f t="shared" si="1"/>
        <v>3180004</v>
      </c>
      <c r="H46" s="197"/>
      <c r="AN46" s="29" t="e">
        <f>IF(LEN(TRIM(#REF!&amp;#REF!&amp;#REF!&amp;#REF!&amp;#REF!))&gt;0,1,0)</f>
        <v>#REF!</v>
      </c>
    </row>
    <row r="47" spans="1:40" ht="12.75">
      <c r="A47" s="228">
        <v>28</v>
      </c>
      <c r="B47" s="229" t="s">
        <v>201</v>
      </c>
      <c r="C47" s="247">
        <v>0</v>
      </c>
      <c r="D47" s="247">
        <v>2186512</v>
      </c>
      <c r="E47" s="247">
        <v>2048891</v>
      </c>
      <c r="F47" s="247">
        <v>80589</v>
      </c>
      <c r="G47" s="248">
        <f t="shared" si="1"/>
        <v>4315992</v>
      </c>
      <c r="H47" s="197"/>
      <c r="AN47" s="29" t="e">
        <f>IF(LEN(TRIM(#REF!&amp;#REF!&amp;#REF!&amp;#REF!&amp;#REF!))&gt;0,1,0)</f>
        <v>#REF!</v>
      </c>
    </row>
    <row r="48" spans="1:40" ht="12.75">
      <c r="A48" s="228">
        <v>29</v>
      </c>
      <c r="B48" s="229" t="s">
        <v>202</v>
      </c>
      <c r="C48" s="247">
        <v>877</v>
      </c>
      <c r="D48" s="247">
        <v>483799</v>
      </c>
      <c r="E48" s="247">
        <v>992469</v>
      </c>
      <c r="F48" s="247">
        <v>143198</v>
      </c>
      <c r="G48" s="248">
        <f t="shared" si="1"/>
        <v>1620343</v>
      </c>
      <c r="H48" s="197"/>
      <c r="AN48" s="29" t="e">
        <f>IF(LEN(TRIM(#REF!&amp;#REF!&amp;#REF!&amp;#REF!&amp;#REF!))&gt;0,1,0)</f>
        <v>#REF!</v>
      </c>
    </row>
    <row r="49" spans="1:40" ht="12.75">
      <c r="A49" s="228">
        <v>30</v>
      </c>
      <c r="B49" s="229" t="s">
        <v>203</v>
      </c>
      <c r="C49" s="247">
        <v>14179</v>
      </c>
      <c r="D49" s="247">
        <v>1000006</v>
      </c>
      <c r="E49" s="247">
        <v>822613</v>
      </c>
      <c r="F49" s="247">
        <v>153416</v>
      </c>
      <c r="G49" s="248">
        <f t="shared" si="1"/>
        <v>1990214</v>
      </c>
      <c r="H49" s="197"/>
      <c r="AN49" s="29" t="e">
        <f>IF(LEN(TRIM(#REF!&amp;#REF!&amp;#REF!&amp;#REF!&amp;#REF!))&gt;0,1,0)</f>
        <v>#REF!</v>
      </c>
    </row>
    <row r="50" spans="1:40" ht="12.75">
      <c r="A50" s="228">
        <v>31</v>
      </c>
      <c r="B50" s="229" t="s">
        <v>204</v>
      </c>
      <c r="C50" s="247">
        <v>1251</v>
      </c>
      <c r="D50" s="247">
        <v>3026</v>
      </c>
      <c r="E50" s="247">
        <v>98354</v>
      </c>
      <c r="F50" s="247">
        <v>1523</v>
      </c>
      <c r="G50" s="248">
        <f t="shared" si="1"/>
        <v>104154</v>
      </c>
      <c r="H50" s="246"/>
      <c r="AN50" s="29" t="e">
        <f>IF(LEN(TRIM(#REF!&amp;#REF!&amp;#REF!&amp;#REF!&amp;#REF!))&gt;0,1,0)</f>
        <v>#REF!</v>
      </c>
    </row>
    <row r="51" spans="1:40" ht="12.75">
      <c r="A51" s="228">
        <v>32</v>
      </c>
      <c r="B51" s="229" t="s">
        <v>205</v>
      </c>
      <c r="C51" s="247">
        <v>0</v>
      </c>
      <c r="D51" s="247">
        <v>2200</v>
      </c>
      <c r="E51" s="247">
        <v>341667</v>
      </c>
      <c r="F51" s="247">
        <v>133563</v>
      </c>
      <c r="G51" s="248">
        <f t="shared" si="1"/>
        <v>477430</v>
      </c>
      <c r="H51" s="246"/>
      <c r="AN51" s="29" t="e">
        <f>IF(LEN(TRIM(#REF!&amp;#REF!&amp;#REF!&amp;#REF!&amp;#REF!))&gt;0,1,0)</f>
        <v>#REF!</v>
      </c>
    </row>
    <row r="52" spans="1:40" ht="13.5" thickBot="1">
      <c r="A52" s="228">
        <v>33</v>
      </c>
      <c r="B52" s="229" t="s">
        <v>206</v>
      </c>
      <c r="C52" s="266">
        <v>0</v>
      </c>
      <c r="D52" s="266">
        <v>9290</v>
      </c>
      <c r="E52" s="266">
        <v>90664</v>
      </c>
      <c r="F52" s="266">
        <v>14984</v>
      </c>
      <c r="G52" s="248">
        <f t="shared" si="1"/>
        <v>114938</v>
      </c>
      <c r="H52" s="246"/>
      <c r="AN52" s="29" t="e">
        <f>IF(LEN(TRIM(#REF!&amp;#REF!&amp;#REF!&amp;#REF!&amp;#REF!))&gt;0,1,0)</f>
        <v>#REF!</v>
      </c>
    </row>
    <row r="53" spans="1:40" ht="13.5" thickBot="1">
      <c r="A53" s="228">
        <v>34</v>
      </c>
      <c r="B53" s="250" t="s">
        <v>207</v>
      </c>
      <c r="C53" s="252">
        <f>SUM(C33:C52)</f>
        <v>90107</v>
      </c>
      <c r="D53" s="252">
        <f>SUM(D33:D52)</f>
        <v>19378276</v>
      </c>
      <c r="E53" s="252">
        <f>SUM(E33:E52)</f>
        <v>22794365</v>
      </c>
      <c r="F53" s="252">
        <f>SUM(F33:F52)</f>
        <v>1463048</v>
      </c>
      <c r="G53" s="252">
        <f t="shared" si="1"/>
        <v>43725796</v>
      </c>
      <c r="H53" s="229"/>
      <c r="K53" s="253">
        <v>36709595</v>
      </c>
      <c r="L53" s="254">
        <v>-0.05</v>
      </c>
      <c r="M53" s="254">
        <v>0.15</v>
      </c>
      <c r="N53" s="255">
        <v>1000000</v>
      </c>
      <c r="O53" s="267"/>
      <c r="AN53" s="29" t="e">
        <f>IF(LEN(TRIM(#REF!&amp;#REF!&amp;#REF!&amp;#REF!&amp;#REF!))&gt;0,1,0)</f>
        <v>#REF!</v>
      </c>
    </row>
    <row r="54" spans="1:40" ht="13.5" thickBot="1">
      <c r="A54" s="261"/>
      <c r="B54" s="261"/>
      <c r="AN54" s="168"/>
    </row>
    <row r="55" spans="1:40" s="197" customFormat="1" ht="13.5" thickBot="1">
      <c r="A55" s="228">
        <v>35</v>
      </c>
      <c r="B55" s="250" t="s">
        <v>208</v>
      </c>
      <c r="C55" s="251">
        <f>SUM(C15,C17,C29,C53)</f>
        <v>644826</v>
      </c>
      <c r="D55" s="251">
        <f>SUM(D15,D17,D29,D53)</f>
        <v>92425209</v>
      </c>
      <c r="E55" s="252">
        <f>SUM(E15,E17,E29,E53)</f>
        <v>94596842</v>
      </c>
      <c r="F55" s="252">
        <f>SUM(F15,F17,F29,F53)</f>
        <v>9520398</v>
      </c>
      <c r="G55" s="252">
        <f>SUM(C55:F55)</f>
        <v>197187275</v>
      </c>
      <c r="H55" s="229"/>
      <c r="AN55" s="29" t="e">
        <f>IF(LEN(TRIM(#REF!&amp;#REF!&amp;#REF!&amp;#REF!&amp;#REF!))&gt;0,1,0)</f>
        <v>#REF!</v>
      </c>
    </row>
    <row r="56" spans="1:40" s="197" customFormat="1" ht="12.75">
      <c r="A56" s="229"/>
      <c r="B56" s="229"/>
      <c r="AN56" s="168"/>
    </row>
    <row r="57" spans="1:40" s="197" customFormat="1" ht="12.75">
      <c r="A57" s="262" t="s">
        <v>209</v>
      </c>
      <c r="B57" s="262"/>
      <c r="C57" s="244"/>
      <c r="AN57" s="168"/>
    </row>
    <row r="58" spans="1:40" s="197" customFormat="1" ht="12.75">
      <c r="A58" s="264"/>
      <c r="B58" s="264"/>
      <c r="C58" s="244"/>
      <c r="AN58" s="168"/>
    </row>
    <row r="59" spans="1:40" s="197" customFormat="1" ht="12.75">
      <c r="A59" s="228">
        <v>36</v>
      </c>
      <c r="B59" s="229" t="s">
        <v>210</v>
      </c>
      <c r="C59" s="247">
        <v>311080</v>
      </c>
      <c r="D59" s="247">
        <v>73516502</v>
      </c>
      <c r="E59" s="247">
        <v>57440726</v>
      </c>
      <c r="F59" s="247">
        <v>8133620</v>
      </c>
      <c r="G59" s="248">
        <f aca="true" t="shared" si="2" ref="G59:G68">SUM(C59:F59)</f>
        <v>139401928</v>
      </c>
      <c r="AN59" s="29" t="e">
        <f>IF(LEN(TRIM(#REF!&amp;#REF!&amp;#REF!&amp;#REF!&amp;#REF!))&gt;0,1,0)</f>
        <v>#REF!</v>
      </c>
    </row>
    <row r="60" spans="1:40" s="197" customFormat="1" ht="12.75">
      <c r="A60" s="228">
        <v>37</v>
      </c>
      <c r="B60" s="229" t="s">
        <v>211</v>
      </c>
      <c r="C60" s="247">
        <v>0</v>
      </c>
      <c r="D60" s="247">
        <v>0</v>
      </c>
      <c r="E60" s="247">
        <v>17150044</v>
      </c>
      <c r="F60" s="247">
        <v>0</v>
      </c>
      <c r="G60" s="248">
        <f t="shared" si="2"/>
        <v>17150044</v>
      </c>
      <c r="AN60" s="29" t="e">
        <f>IF(LEN(TRIM(#REF!&amp;#REF!&amp;#REF!&amp;#REF!&amp;#REF!))&gt;0,1,0)</f>
        <v>#REF!</v>
      </c>
    </row>
    <row r="61" spans="1:40" s="197" customFormat="1" ht="12.75">
      <c r="A61" s="228">
        <v>38</v>
      </c>
      <c r="B61" s="229" t="s">
        <v>212</v>
      </c>
      <c r="C61" s="247">
        <v>4553</v>
      </c>
      <c r="D61" s="247">
        <v>5188557</v>
      </c>
      <c r="E61" s="247">
        <v>3455862</v>
      </c>
      <c r="F61" s="247">
        <v>442610</v>
      </c>
      <c r="G61" s="248">
        <f t="shared" si="2"/>
        <v>9091582</v>
      </c>
      <c r="AN61" s="29" t="e">
        <f>IF(LEN(TRIM(#REF!&amp;#REF!&amp;#REF!&amp;#REF!&amp;#REF!))&gt;0,1,0)</f>
        <v>#REF!</v>
      </c>
    </row>
    <row r="62" spans="1:40" s="197" customFormat="1" ht="12.75">
      <c r="A62" s="228">
        <v>39</v>
      </c>
      <c r="B62" s="229" t="s">
        <v>213</v>
      </c>
      <c r="C62" s="247">
        <v>1849</v>
      </c>
      <c r="D62" s="247">
        <v>649044</v>
      </c>
      <c r="E62" s="247">
        <v>435770</v>
      </c>
      <c r="F62" s="247">
        <v>17197</v>
      </c>
      <c r="G62" s="248">
        <f t="shared" si="2"/>
        <v>1103860</v>
      </c>
      <c r="AN62" s="29" t="e">
        <f>IF(LEN(TRIM(#REF!&amp;#REF!&amp;#REF!&amp;#REF!&amp;#REF!))&gt;0,1,0)</f>
        <v>#REF!</v>
      </c>
    </row>
    <row r="63" spans="1:40" s="197" customFormat="1" ht="12.75">
      <c r="A63" s="228">
        <v>40</v>
      </c>
      <c r="B63" s="229" t="s">
        <v>214</v>
      </c>
      <c r="C63" s="247">
        <f>'[1]Table B'!I14</f>
        <v>5874</v>
      </c>
      <c r="D63" s="247">
        <f>'[1]Table B'!I86</f>
        <v>4446624.57</v>
      </c>
      <c r="E63" s="247">
        <f>'[1]Table B'!I109</f>
        <v>6440854.21</v>
      </c>
      <c r="F63" s="247">
        <f>'[1]Table B'!I119</f>
        <v>363026</v>
      </c>
      <c r="G63" s="248">
        <f t="shared" si="2"/>
        <v>11256378.780000001</v>
      </c>
      <c r="AN63" s="29" t="e">
        <f>IF(LEN(TRIM(#REF!&amp;#REF!&amp;#REF!&amp;#REF!&amp;#REF!))&gt;0,1,0)</f>
        <v>#REF!</v>
      </c>
    </row>
    <row r="64" spans="1:40" s="197" customFormat="1" ht="12" customHeight="1">
      <c r="A64" s="228">
        <v>41</v>
      </c>
      <c r="B64" s="229" t="s">
        <v>215</v>
      </c>
      <c r="C64" s="247">
        <f>'[1]Table B'!J14</f>
        <v>178526</v>
      </c>
      <c r="D64" s="247">
        <f>'[1]Table B'!J86</f>
        <v>35737.58</v>
      </c>
      <c r="E64" s="247">
        <f>'[1]Table B'!J109</f>
        <v>296309.9</v>
      </c>
      <c r="F64" s="247">
        <f>'[1]Table B'!J119</f>
        <v>0</v>
      </c>
      <c r="G64" s="268">
        <f t="shared" si="2"/>
        <v>510573.48000000004</v>
      </c>
      <c r="AN64" s="29" t="e">
        <f>IF(LEN(TRIM(#REF!&amp;#REF!&amp;#REF!&amp;#REF!&amp;#REF!))&gt;0,1,0)</f>
        <v>#REF!</v>
      </c>
    </row>
    <row r="65" spans="1:40" s="197" customFormat="1" ht="12.75">
      <c r="A65" s="228">
        <v>42</v>
      </c>
      <c r="B65" s="229" t="s">
        <v>216</v>
      </c>
      <c r="C65" s="247">
        <v>18555</v>
      </c>
      <c r="D65" s="247">
        <v>3928788</v>
      </c>
      <c r="E65" s="247">
        <v>3420098</v>
      </c>
      <c r="F65" s="247">
        <v>262948</v>
      </c>
      <c r="G65" s="268">
        <f t="shared" si="2"/>
        <v>7630389</v>
      </c>
      <c r="AN65" s="29" t="e">
        <f>IF(LEN(TRIM(#REF!&amp;#REF!&amp;#REF!&amp;#REF!&amp;#REF!))&gt;0,1,0)</f>
        <v>#REF!</v>
      </c>
    </row>
    <row r="66" spans="1:40" s="197" customFormat="1" ht="12.75">
      <c r="A66" s="228">
        <v>43</v>
      </c>
      <c r="B66" s="229" t="s">
        <v>217</v>
      </c>
      <c r="C66" s="247">
        <f>'[1]Table B'!L14</f>
        <v>0</v>
      </c>
      <c r="D66" s="247">
        <f>'[1]Table B'!L86</f>
        <v>170131.26</v>
      </c>
      <c r="E66" s="247">
        <f>'[1]Table B'!L109</f>
        <v>34708</v>
      </c>
      <c r="F66" s="247">
        <f>'[1]Table B'!L119</f>
        <v>45598</v>
      </c>
      <c r="G66" s="268">
        <f t="shared" si="2"/>
        <v>250437.26</v>
      </c>
      <c r="AN66" s="29" t="e">
        <f>IF(LEN(TRIM(#REF!&amp;#REF!&amp;#REF!&amp;#REF!&amp;#REF!))&gt;0,1,0)</f>
        <v>#REF!</v>
      </c>
    </row>
    <row r="67" spans="1:40" s="197" customFormat="1" ht="13.5" thickBot="1">
      <c r="A67" s="228">
        <v>44</v>
      </c>
      <c r="B67" s="229" t="s">
        <v>218</v>
      </c>
      <c r="C67" s="247">
        <f>'[1]Table B'!M14</f>
        <v>0</v>
      </c>
      <c r="D67" s="247">
        <f>'[1]Table B'!M86</f>
        <v>20568.35</v>
      </c>
      <c r="E67" s="247">
        <f>'[1]Table B'!M109</f>
        <v>524025.35</v>
      </c>
      <c r="F67" s="247">
        <f>'[1]Table B'!M119</f>
        <v>18000</v>
      </c>
      <c r="G67" s="248">
        <f t="shared" si="2"/>
        <v>562593.7</v>
      </c>
      <c r="AN67" s="29" t="e">
        <f>IF(LEN(TRIM(#REF!&amp;#REF!&amp;#REF!&amp;#REF!&amp;#REF!))&gt;0,1,0)</f>
        <v>#REF!</v>
      </c>
    </row>
    <row r="68" spans="1:40" s="197" customFormat="1" ht="13.5" thickBot="1">
      <c r="A68" s="269">
        <v>45</v>
      </c>
      <c r="B68" s="270" t="s">
        <v>219</v>
      </c>
      <c r="C68" s="271">
        <f>SUM(C59:C67)</f>
        <v>520437</v>
      </c>
      <c r="D68" s="271">
        <f>SUM(D59:D67)</f>
        <v>87955952.75999999</v>
      </c>
      <c r="E68" s="271">
        <f>SUM(E59:E67)</f>
        <v>89198397.46</v>
      </c>
      <c r="F68" s="271">
        <f>SUM(F59:F67)</f>
        <v>9282999</v>
      </c>
      <c r="G68" s="272">
        <f t="shared" si="2"/>
        <v>186957786.21999997</v>
      </c>
      <c r="H68" s="273"/>
      <c r="I68" s="274"/>
      <c r="J68" s="274"/>
      <c r="K68" s="253">
        <v>173365526</v>
      </c>
      <c r="L68" s="254">
        <v>0</v>
      </c>
      <c r="M68" s="254">
        <v>0.15</v>
      </c>
      <c r="N68" s="255">
        <v>1000000</v>
      </c>
      <c r="O68" s="267"/>
      <c r="AN68" s="29" t="e">
        <f>IF(LEN(TRIM(#REF!&amp;#REF!&amp;#REF!&amp;#REF!&amp;#REF!))&gt;0,1,0)</f>
        <v>#REF!</v>
      </c>
    </row>
    <row r="69" spans="1:40" s="197" customFormat="1" ht="12.75">
      <c r="A69" s="229"/>
      <c r="B69" s="229"/>
      <c r="AN69" s="168"/>
    </row>
    <row r="70" spans="1:40" s="197" customFormat="1" ht="12.75">
      <c r="A70" s="262" t="s">
        <v>220</v>
      </c>
      <c r="B70" s="262"/>
      <c r="C70" s="244"/>
      <c r="AN70" s="168"/>
    </row>
    <row r="71" spans="1:40" s="197" customFormat="1" ht="12.75">
      <c r="A71" s="264"/>
      <c r="B71" s="264"/>
      <c r="C71" s="244"/>
      <c r="AN71" s="168"/>
    </row>
    <row r="72" spans="1:40" s="197" customFormat="1" ht="12.75">
      <c r="A72" s="228">
        <v>46</v>
      </c>
      <c r="B72" s="229" t="s">
        <v>221</v>
      </c>
      <c r="C72" s="247">
        <v>944</v>
      </c>
      <c r="D72" s="247">
        <v>330665</v>
      </c>
      <c r="E72" s="247">
        <v>996956</v>
      </c>
      <c r="F72" s="247">
        <v>215570</v>
      </c>
      <c r="G72" s="248">
        <f aca="true" t="shared" si="3" ref="G72:G81">SUM(C72:F72)</f>
        <v>1544135</v>
      </c>
      <c r="AN72" s="29" t="e">
        <f>IF(LEN(TRIM(#REF!&amp;#REF!&amp;#REF!&amp;#REF!&amp;#REF!))&gt;0,1,0)</f>
        <v>#REF!</v>
      </c>
    </row>
    <row r="73" spans="1:40" s="197" customFormat="1" ht="12.75">
      <c r="A73" s="228">
        <v>47</v>
      </c>
      <c r="B73" s="229" t="s">
        <v>222</v>
      </c>
      <c r="C73" s="247">
        <v>126474</v>
      </c>
      <c r="D73" s="247">
        <v>1291802</v>
      </c>
      <c r="E73" s="247">
        <f>1900818+8345</f>
        <v>1909163</v>
      </c>
      <c r="F73" s="247">
        <v>114242</v>
      </c>
      <c r="G73" s="248">
        <f t="shared" si="3"/>
        <v>3441681</v>
      </c>
      <c r="AN73" s="29" t="e">
        <f>IF(LEN(TRIM(#REF!&amp;#REF!&amp;#REF!&amp;#REF!&amp;#REF!))&gt;0,1,0)</f>
        <v>#REF!</v>
      </c>
    </row>
    <row r="74" spans="1:40" s="197" customFormat="1" ht="12.75">
      <c r="A74" s="228">
        <v>48</v>
      </c>
      <c r="B74" s="229" t="s">
        <v>223</v>
      </c>
      <c r="C74" s="247">
        <v>268</v>
      </c>
      <c r="D74" s="247">
        <v>318675</v>
      </c>
      <c r="E74" s="247">
        <v>1441411</v>
      </c>
      <c r="F74" s="247">
        <v>41744</v>
      </c>
      <c r="G74" s="248">
        <f t="shared" si="3"/>
        <v>1802098</v>
      </c>
      <c r="AN74" s="29" t="e">
        <f>IF(LEN(TRIM(#REF!&amp;#REF!&amp;#REF!&amp;#REF!&amp;#REF!))&gt;0,1,0)</f>
        <v>#REF!</v>
      </c>
    </row>
    <row r="75" spans="1:40" s="197" customFormat="1" ht="12.75">
      <c r="A75" s="228">
        <v>49</v>
      </c>
      <c r="B75" s="229" t="s">
        <v>224</v>
      </c>
      <c r="C75" s="247">
        <v>0</v>
      </c>
      <c r="D75" s="247">
        <v>267526</v>
      </c>
      <c r="E75" s="247">
        <v>113471</v>
      </c>
      <c r="F75" s="247">
        <v>2470</v>
      </c>
      <c r="G75" s="248">
        <f t="shared" si="3"/>
        <v>383467</v>
      </c>
      <c r="AN75" s="29" t="e">
        <f>IF(LEN(TRIM(#REF!&amp;#REF!&amp;#REF!&amp;#REF!&amp;#REF!))&gt;0,1,0)</f>
        <v>#REF!</v>
      </c>
    </row>
    <row r="76" spans="1:40" s="197" customFormat="1" ht="12.75">
      <c r="A76" s="228">
        <v>50</v>
      </c>
      <c r="B76" s="229" t="s">
        <v>225</v>
      </c>
      <c r="C76" s="247">
        <v>0</v>
      </c>
      <c r="D76" s="247">
        <v>180742</v>
      </c>
      <c r="E76" s="247">
        <v>56668</v>
      </c>
      <c r="F76" s="247">
        <v>9203</v>
      </c>
      <c r="G76" s="248">
        <f t="shared" si="3"/>
        <v>246613</v>
      </c>
      <c r="AN76" s="29" t="e">
        <f>IF(LEN(TRIM(#REF!&amp;#REF!&amp;#REF!&amp;#REF!&amp;#REF!))&gt;0,1,0)</f>
        <v>#REF!</v>
      </c>
    </row>
    <row r="77" spans="1:40" s="197" customFormat="1" ht="12.75">
      <c r="A77" s="228">
        <v>51</v>
      </c>
      <c r="B77" s="229" t="s">
        <v>226</v>
      </c>
      <c r="C77" s="247">
        <v>15</v>
      </c>
      <c r="D77" s="247">
        <v>556544</v>
      </c>
      <c r="E77" s="247">
        <v>206710</v>
      </c>
      <c r="F77" s="247">
        <v>11048</v>
      </c>
      <c r="G77" s="248">
        <f t="shared" si="3"/>
        <v>774317</v>
      </c>
      <c r="AN77" s="29" t="e">
        <f>IF(LEN(TRIM(#REF!&amp;#REF!&amp;#REF!&amp;#REF!&amp;#REF!))&gt;0,1,0)</f>
        <v>#REF!</v>
      </c>
    </row>
    <row r="78" spans="1:40" s="197" customFormat="1" ht="13.5" thickBot="1">
      <c r="A78" s="228">
        <v>52</v>
      </c>
      <c r="B78" s="229" t="s">
        <v>227</v>
      </c>
      <c r="C78" s="247">
        <f>'[1]Table B'!N14</f>
        <v>0</v>
      </c>
      <c r="D78" s="247">
        <f>'[1]Table B'!N86</f>
        <v>6700</v>
      </c>
      <c r="E78" s="247">
        <f>'[1]Table B'!N109</f>
        <v>177628.85</v>
      </c>
      <c r="F78" s="247">
        <f>'[1]Table B'!N119</f>
        <v>544</v>
      </c>
      <c r="G78" s="248">
        <f t="shared" si="3"/>
        <v>184872.85</v>
      </c>
      <c r="AN78" s="29" t="e">
        <f>IF(LEN(TRIM(#REF!&amp;#REF!&amp;#REF!&amp;#REF!&amp;#REF!))&gt;0,1,0)</f>
        <v>#REF!</v>
      </c>
    </row>
    <row r="79" spans="1:40" s="197" customFormat="1" ht="23.25" thickBot="1">
      <c r="A79" s="275">
        <v>53</v>
      </c>
      <c r="B79" s="276" t="s">
        <v>228</v>
      </c>
      <c r="C79" s="272">
        <f>SUM(C72:C78)</f>
        <v>127701</v>
      </c>
      <c r="D79" s="272">
        <f>SUM(D72:D78)</f>
        <v>2952654</v>
      </c>
      <c r="E79" s="272">
        <f>SUM(E72:E78)</f>
        <v>4902007.85</v>
      </c>
      <c r="F79" s="272">
        <f>SUM(F72:F78)</f>
        <v>394821</v>
      </c>
      <c r="G79" s="272">
        <f t="shared" si="3"/>
        <v>8377183.85</v>
      </c>
      <c r="AN79" s="29" t="e">
        <f>IF(LEN(TRIM(#REF!&amp;#REF!&amp;#REF!&amp;#REF!&amp;#REF!))&gt;0,1,0)</f>
        <v>#REF!</v>
      </c>
    </row>
    <row r="80" spans="1:40" s="197" customFormat="1" ht="13.5" thickBot="1">
      <c r="A80" s="228">
        <v>54</v>
      </c>
      <c r="B80" s="229" t="s">
        <v>229</v>
      </c>
      <c r="C80" s="247">
        <v>1660</v>
      </c>
      <c r="D80" s="247">
        <v>594084</v>
      </c>
      <c r="E80" s="247">
        <v>510090</v>
      </c>
      <c r="F80" s="247">
        <v>72317</v>
      </c>
      <c r="G80" s="248">
        <f t="shared" si="3"/>
        <v>1178151</v>
      </c>
      <c r="AN80" s="29" t="e">
        <f>IF(LEN(TRIM(#REF!&amp;#REF!&amp;#REF!&amp;#REF!&amp;#REF!))&gt;0,1,0)</f>
        <v>#REF!</v>
      </c>
    </row>
    <row r="81" spans="1:40" s="197" customFormat="1" ht="23.25" thickBot="1">
      <c r="A81" s="277">
        <v>55</v>
      </c>
      <c r="B81" s="276" t="s">
        <v>230</v>
      </c>
      <c r="C81" s="272">
        <f>SUM(C79,C80)</f>
        <v>129361</v>
      </c>
      <c r="D81" s="272">
        <f>SUM(D79,D80)</f>
        <v>3546738</v>
      </c>
      <c r="E81" s="272">
        <f>SUM(E79,E80)</f>
        <v>5412097.85</v>
      </c>
      <c r="F81" s="272">
        <f>SUM(F79,F80)</f>
        <v>467138</v>
      </c>
      <c r="G81" s="272">
        <f t="shared" si="3"/>
        <v>9555334.85</v>
      </c>
      <c r="H81" s="229"/>
      <c r="AN81" s="29" t="e">
        <f>IF(LEN(TRIM(#REF!&amp;#REF!&amp;#REF!&amp;#REF!&amp;#REF!))&gt;0,1,0)</f>
        <v>#REF!</v>
      </c>
    </row>
    <row r="82" spans="1:40" s="197" customFormat="1" ht="13.5" thickBot="1">
      <c r="A82" s="228"/>
      <c r="B82" s="229"/>
      <c r="C82" s="244"/>
      <c r="G82" s="246"/>
      <c r="AN82" s="168"/>
    </row>
    <row r="83" spans="1:40" s="197" customFormat="1" ht="13.5" thickBot="1">
      <c r="A83" s="228">
        <v>56</v>
      </c>
      <c r="B83" s="250" t="s">
        <v>231</v>
      </c>
      <c r="C83" s="252">
        <f>SUM(C55)-SUM(C81)</f>
        <v>515465</v>
      </c>
      <c r="D83" s="252">
        <f>SUM(D55)-SUM(D81)</f>
        <v>88878471</v>
      </c>
      <c r="E83" s="252">
        <f>SUM(E55)-SUM(E81)</f>
        <v>89184744.15</v>
      </c>
      <c r="F83" s="252">
        <f>SUM(F55)-SUM(F81)</f>
        <v>9053260</v>
      </c>
      <c r="G83" s="252">
        <f>SUM(C83:F83)</f>
        <v>187631940.15</v>
      </c>
      <c r="H83" s="229"/>
      <c r="AN83" s="168"/>
    </row>
    <row r="84" spans="1:40" s="197" customFormat="1" ht="12.75">
      <c r="A84" s="228"/>
      <c r="B84" s="229"/>
      <c r="C84" s="279"/>
      <c r="D84" s="280"/>
      <c r="E84" s="280"/>
      <c r="F84" s="280"/>
      <c r="G84" s="280"/>
      <c r="H84" s="246"/>
      <c r="AN84" s="168"/>
    </row>
    <row r="85" spans="1:40" s="197" customFormat="1" ht="12.75">
      <c r="A85" s="277">
        <v>57</v>
      </c>
      <c r="B85" s="281" t="s">
        <v>232</v>
      </c>
      <c r="C85" s="282">
        <f>'[1]Table B'!R14</f>
        <v>0</v>
      </c>
      <c r="D85" s="282">
        <f>'[1]Table B'!R86</f>
        <v>183806.05</v>
      </c>
      <c r="E85" s="282">
        <f>'[1]Table B'!R109</f>
        <v>335134.95999999996</v>
      </c>
      <c r="F85" s="283">
        <f>'[1]Table B'!R119</f>
        <v>75270</v>
      </c>
      <c r="G85" s="284">
        <f>SUM(C85:F85)</f>
        <v>594211.01</v>
      </c>
      <c r="H85" s="51"/>
      <c r="AN85" s="29" t="e">
        <f>IF(LEN(TRIM(#REF!&amp;#REF!&amp;#REF!&amp;#REF!&amp;#REF!))&gt;0,1,0)</f>
        <v>#REF!</v>
      </c>
    </row>
    <row r="86" spans="1:40" s="197" customFormat="1" ht="12.75">
      <c r="A86" s="229"/>
      <c r="B86" s="229"/>
      <c r="AN86" s="168"/>
    </row>
    <row r="87" spans="1:40" ht="12.75">
      <c r="A87" s="262" t="s">
        <v>233</v>
      </c>
      <c r="B87" s="262"/>
      <c r="C87" s="244"/>
      <c r="D87" s="197"/>
      <c r="E87" s="197"/>
      <c r="F87" s="197"/>
      <c r="G87" s="197"/>
      <c r="H87" s="197"/>
      <c r="AN87" s="168"/>
    </row>
    <row r="88" spans="1:40" ht="12.75">
      <c r="A88" s="264"/>
      <c r="B88" s="264"/>
      <c r="C88" s="244"/>
      <c r="D88" s="197"/>
      <c r="E88" s="197"/>
      <c r="F88" s="197"/>
      <c r="G88" s="197"/>
      <c r="H88" s="197"/>
      <c r="AN88" s="168"/>
    </row>
    <row r="89" spans="1:40" ht="12.75">
      <c r="A89" s="228"/>
      <c r="B89" s="285" t="s">
        <v>234</v>
      </c>
      <c r="C89" s="286"/>
      <c r="D89" s="197"/>
      <c r="E89" s="197"/>
      <c r="F89" s="197"/>
      <c r="G89" s="197"/>
      <c r="H89" s="197"/>
      <c r="AN89" s="168"/>
    </row>
    <row r="90" spans="1:40" ht="12.75" hidden="1">
      <c r="A90" s="228"/>
      <c r="B90" s="285"/>
      <c r="C90" s="286"/>
      <c r="D90" s="197"/>
      <c r="E90" s="197"/>
      <c r="F90" s="197"/>
      <c r="G90" s="197"/>
      <c r="H90" s="197"/>
      <c r="AN90" s="168"/>
    </row>
    <row r="91" spans="1:40" ht="12.75">
      <c r="A91" s="228">
        <v>58</v>
      </c>
      <c r="B91" s="229" t="s">
        <v>235</v>
      </c>
      <c r="C91" s="247">
        <v>0</v>
      </c>
      <c r="D91" s="247">
        <v>1580981.1779707184</v>
      </c>
      <c r="E91" s="247">
        <v>384488.4921171508</v>
      </c>
      <c r="F91" s="247">
        <v>26904</v>
      </c>
      <c r="G91" s="248">
        <f>SUM(C91:F91)</f>
        <v>1992373.6700878693</v>
      </c>
      <c r="H91" s="197"/>
      <c r="AN91" s="29" t="e">
        <f>IF(LEN(TRIM(#REF!&amp;#REF!&amp;#REF!&amp;#REF!&amp;#REF!))&gt;0,1,0)</f>
        <v>#REF!</v>
      </c>
    </row>
    <row r="92" spans="1:40" ht="12.75">
      <c r="A92" s="228">
        <v>59</v>
      </c>
      <c r="B92" s="229" t="s">
        <v>236</v>
      </c>
      <c r="C92" s="247">
        <v>18873</v>
      </c>
      <c r="D92" s="247">
        <v>7226308</v>
      </c>
      <c r="E92" s="247">
        <v>3952956.0028344984</v>
      </c>
      <c r="F92" s="247">
        <v>347403</v>
      </c>
      <c r="G92" s="248">
        <f>SUM(C92:F92)</f>
        <v>11545540.002834499</v>
      </c>
      <c r="H92" s="229"/>
      <c r="AN92" s="29" t="e">
        <f>IF(LEN(TRIM(#REF!&amp;#REF!&amp;#REF!&amp;#REF!&amp;#REF!))&gt;0,1,0)</f>
        <v>#REF!</v>
      </c>
    </row>
    <row r="93" spans="1:40" ht="12.75">
      <c r="A93" s="228">
        <v>60</v>
      </c>
      <c r="B93" s="229" t="s">
        <v>237</v>
      </c>
      <c r="C93" s="247">
        <f>'[1]Table B'!E14</f>
        <v>4254.45</v>
      </c>
      <c r="D93" s="247">
        <f>'[1]Table B'!E86</f>
        <v>0</v>
      </c>
      <c r="E93" s="247">
        <f>'[1]Table B'!E109</f>
        <v>137356.11</v>
      </c>
      <c r="F93" s="247">
        <f>'[1]Table B'!E119</f>
        <v>97399.38</v>
      </c>
      <c r="G93" s="248">
        <f>SUM(C93:F93)</f>
        <v>239009.94</v>
      </c>
      <c r="H93" s="229"/>
      <c r="AN93" s="29" t="e">
        <f>IF(LEN(TRIM(#REF!&amp;#REF!&amp;#REF!&amp;#REF!&amp;#REF!))&gt;0,1,0)</f>
        <v>#REF!</v>
      </c>
    </row>
    <row r="94" spans="1:40" ht="12.75">
      <c r="A94" s="228"/>
      <c r="B94" s="229"/>
      <c r="C94" s="249"/>
      <c r="D94" s="287"/>
      <c r="E94" s="287"/>
      <c r="F94" s="287"/>
      <c r="G94" s="287"/>
      <c r="H94" s="229"/>
      <c r="AN94" s="29"/>
    </row>
    <row r="95" spans="1:40" ht="12.75">
      <c r="A95" s="288"/>
      <c r="B95" s="285" t="s">
        <v>238</v>
      </c>
      <c r="C95" s="289"/>
      <c r="D95" s="280"/>
      <c r="E95" s="280"/>
      <c r="F95" s="280"/>
      <c r="G95" s="280"/>
      <c r="H95" s="246"/>
      <c r="AN95" s="168"/>
    </row>
    <row r="96" spans="1:40" ht="12.75" hidden="1">
      <c r="A96" s="288"/>
      <c r="B96" s="285"/>
      <c r="C96" s="289"/>
      <c r="D96" s="290"/>
      <c r="E96" s="290"/>
      <c r="F96" s="290"/>
      <c r="G96" s="290"/>
      <c r="H96" s="246"/>
      <c r="AN96" s="168"/>
    </row>
    <row r="97" spans="1:40" ht="12.75">
      <c r="A97" s="228">
        <v>61</v>
      </c>
      <c r="B97" s="229" t="s">
        <v>235</v>
      </c>
      <c r="C97" s="247">
        <f>'[1]Table B'!S14</f>
        <v>0</v>
      </c>
      <c r="D97" s="247">
        <f>'[1]Table B'!S86</f>
        <v>1433256.3800000001</v>
      </c>
      <c r="E97" s="247">
        <f>'[1]Table B'!S109</f>
        <v>1916297.8499999999</v>
      </c>
      <c r="F97" s="247">
        <f>'[1]Table B'!S119</f>
        <v>111130.88</v>
      </c>
      <c r="G97" s="248">
        <f>SUM(C97:F97)</f>
        <v>3460685.11</v>
      </c>
      <c r="H97" s="197"/>
      <c r="AN97" s="29" t="e">
        <f>IF(LEN(TRIM(#REF!&amp;#REF!&amp;#REF!&amp;#REF!&amp;#REF!))&gt;0,1,0)</f>
        <v>#REF!</v>
      </c>
    </row>
    <row r="98" spans="1:40" ht="12.75">
      <c r="A98" s="228">
        <v>62</v>
      </c>
      <c r="B98" s="229" t="s">
        <v>236</v>
      </c>
      <c r="C98" s="247">
        <f>'[1]Table B'!T14</f>
        <v>23846.32</v>
      </c>
      <c r="D98" s="247">
        <f>'[1]Table B'!T86</f>
        <v>6251935.97</v>
      </c>
      <c r="E98" s="247">
        <f>'[1]Table B'!T109</f>
        <v>1830334.38</v>
      </c>
      <c r="F98" s="247">
        <f>'[1]Table B'!T119</f>
        <v>548016.9500000001</v>
      </c>
      <c r="G98" s="248">
        <f>SUM(C98:F98)</f>
        <v>8654133.62</v>
      </c>
      <c r="H98" s="229"/>
      <c r="AN98" s="29" t="e">
        <f>IF(LEN(TRIM(#REF!&amp;#REF!&amp;#REF!&amp;#REF!&amp;#REF!))&gt;0,1,0)</f>
        <v>#REF!</v>
      </c>
    </row>
    <row r="99" spans="1:40" ht="12.75">
      <c r="A99" s="228">
        <v>63</v>
      </c>
      <c r="B99" s="229" t="s">
        <v>237</v>
      </c>
      <c r="C99" s="247">
        <f>'[1]Table B'!U14</f>
        <v>4254.45</v>
      </c>
      <c r="D99" s="247">
        <f>'[1]Table B'!U86</f>
        <v>15778.35</v>
      </c>
      <c r="E99" s="247">
        <f>'[1]Table B'!U109</f>
        <v>406679.26999999996</v>
      </c>
      <c r="F99" s="247">
        <f>'[1]Table B'!U119</f>
        <v>-32603.589999999997</v>
      </c>
      <c r="G99" s="248">
        <f>SUM(C99:F99)</f>
        <v>394108.48</v>
      </c>
      <c r="H99" s="229"/>
      <c r="AN99" s="29" t="e">
        <f>IF(LEN(TRIM(#REF!&amp;#REF!&amp;#REF!&amp;#REF!&amp;#REF!))&gt;0,1,0)</f>
        <v>#REF!</v>
      </c>
    </row>
    <row r="100" spans="1:40" ht="12.75">
      <c r="A100" s="261"/>
      <c r="B100" s="261"/>
      <c r="AN100" s="168"/>
    </row>
    <row r="101" spans="1:40" s="197" customFormat="1" ht="36.75" customHeight="1">
      <c r="A101" s="269"/>
      <c r="B101" s="229"/>
      <c r="C101" s="291" t="s">
        <v>239</v>
      </c>
      <c r="D101" s="291" t="s">
        <v>240</v>
      </c>
      <c r="E101" s="291" t="s">
        <v>241</v>
      </c>
      <c r="F101" s="291" t="s">
        <v>242</v>
      </c>
      <c r="G101" s="291" t="s">
        <v>243</v>
      </c>
      <c r="H101" s="291" t="s">
        <v>244</v>
      </c>
      <c r="I101" s="291" t="s">
        <v>245</v>
      </c>
      <c r="J101" s="292"/>
      <c r="K101" s="291" t="s">
        <v>246</v>
      </c>
      <c r="L101" s="291" t="s">
        <v>247</v>
      </c>
      <c r="M101" s="291" t="s">
        <v>248</v>
      </c>
      <c r="N101" s="291" t="s">
        <v>249</v>
      </c>
      <c r="O101" s="291" t="s">
        <v>250</v>
      </c>
      <c r="Q101" s="291" t="s">
        <v>251</v>
      </c>
      <c r="R101" s="291" t="s">
        <v>252</v>
      </c>
      <c r="S101" s="291" t="s">
        <v>253</v>
      </c>
      <c r="T101" s="291" t="s">
        <v>254</v>
      </c>
      <c r="U101" s="291" t="s">
        <v>255</v>
      </c>
      <c r="V101" s="291" t="s">
        <v>256</v>
      </c>
      <c r="W101" s="291" t="s">
        <v>257</v>
      </c>
      <c r="Y101" s="216" t="s">
        <v>258</v>
      </c>
      <c r="Z101" s="293" t="s">
        <v>164</v>
      </c>
      <c r="AA101" s="294"/>
      <c r="AB101" s="295"/>
      <c r="AD101" s="216" t="str">
        <f>N101</f>
        <v>Grants from LSC</v>
      </c>
      <c r="AE101" s="216" t="str">
        <f>O101</f>
        <v>LA NET Revenue Expenditure</v>
      </c>
      <c r="AG101" s="216" t="str">
        <f aca="true" t="shared" si="4" ref="AG101:AM101">Q101</f>
        <v>Inter-authority recoupment included in (j)</v>
      </c>
      <c r="AH101" s="216" t="str">
        <f t="shared" si="4"/>
        <v>Inter-authority recoupment included in (l)</v>
      </c>
      <c r="AI101" s="216" t="str">
        <f t="shared" si="4"/>
        <v>Capital Expenditure (Excluding CERA)</v>
      </c>
      <c r="AJ101" s="216" t="str">
        <f t="shared" si="4"/>
        <v>Home to school transport: Nursery</v>
      </c>
      <c r="AK101" s="216" t="str">
        <f t="shared" si="4"/>
        <v>Home to school transport: Primary</v>
      </c>
      <c r="AL101" s="216" t="str">
        <f t="shared" si="4"/>
        <v>Home to school/college transport: Secondary</v>
      </c>
      <c r="AM101" s="216" t="str">
        <f t="shared" si="4"/>
        <v>Home to school/college transport: Special</v>
      </c>
      <c r="AN101" s="168"/>
    </row>
    <row r="102" spans="1:40" s="197" customFormat="1" ht="36.75" customHeight="1">
      <c r="A102" s="228"/>
      <c r="B102" s="229"/>
      <c r="C102" s="296"/>
      <c r="D102" s="296"/>
      <c r="E102" s="296"/>
      <c r="F102" s="296"/>
      <c r="G102" s="296"/>
      <c r="H102" s="296"/>
      <c r="I102" s="296"/>
      <c r="J102" s="292"/>
      <c r="K102" s="296"/>
      <c r="L102" s="296"/>
      <c r="M102" s="296"/>
      <c r="N102" s="296"/>
      <c r="O102" s="296"/>
      <c r="P102" s="297"/>
      <c r="Q102" s="296"/>
      <c r="R102" s="296"/>
      <c r="S102" s="296"/>
      <c r="T102" s="296"/>
      <c r="U102" s="296"/>
      <c r="V102" s="296"/>
      <c r="W102" s="296"/>
      <c r="Y102" s="233"/>
      <c r="Z102" s="224" t="s">
        <v>165</v>
      </c>
      <c r="AA102" s="226"/>
      <c r="AB102" s="298" t="s">
        <v>166</v>
      </c>
      <c r="AD102" s="233"/>
      <c r="AE102" s="233"/>
      <c r="AG102" s="233"/>
      <c r="AH102" s="233"/>
      <c r="AI102" s="233"/>
      <c r="AJ102" s="233"/>
      <c r="AK102" s="233"/>
      <c r="AL102" s="233"/>
      <c r="AM102" s="233"/>
      <c r="AN102" s="168"/>
    </row>
    <row r="103" spans="1:40" s="197" customFormat="1" ht="12.75">
      <c r="A103" s="228"/>
      <c r="B103" s="229"/>
      <c r="C103" s="299" t="s">
        <v>259</v>
      </c>
      <c r="D103" s="299" t="s">
        <v>260</v>
      </c>
      <c r="E103" s="299" t="s">
        <v>261</v>
      </c>
      <c r="F103" s="299" t="s">
        <v>262</v>
      </c>
      <c r="G103" s="299" t="s">
        <v>263</v>
      </c>
      <c r="H103" s="299" t="s">
        <v>264</v>
      </c>
      <c r="I103" s="299" t="s">
        <v>265</v>
      </c>
      <c r="J103" s="300"/>
      <c r="K103" s="299" t="s">
        <v>266</v>
      </c>
      <c r="L103" s="299" t="s">
        <v>267</v>
      </c>
      <c r="M103" s="299" t="s">
        <v>268</v>
      </c>
      <c r="N103" s="299" t="s">
        <v>269</v>
      </c>
      <c r="O103" s="299" t="s">
        <v>270</v>
      </c>
      <c r="P103" s="301"/>
      <c r="Q103" s="299" t="s">
        <v>271</v>
      </c>
      <c r="R103" s="299" t="s">
        <v>272</v>
      </c>
      <c r="S103" s="299" t="s">
        <v>273</v>
      </c>
      <c r="T103" s="302" t="s">
        <v>274</v>
      </c>
      <c r="U103" s="299" t="s">
        <v>275</v>
      </c>
      <c r="V103" s="299" t="s">
        <v>276</v>
      </c>
      <c r="W103" s="303" t="s">
        <v>277</v>
      </c>
      <c r="Y103" s="239" t="s">
        <v>168</v>
      </c>
      <c r="Z103" s="239" t="s">
        <v>169</v>
      </c>
      <c r="AA103" s="231" t="s">
        <v>170</v>
      </c>
      <c r="AB103" s="238" t="s">
        <v>168</v>
      </c>
      <c r="AD103" s="299" t="str">
        <f>N103</f>
        <v>(q)</v>
      </c>
      <c r="AE103" s="299" t="str">
        <f>O103</f>
        <v>(r)</v>
      </c>
      <c r="AG103" s="299" t="str">
        <f aca="true" t="shared" si="5" ref="AG103:AM103">Q103</f>
        <v>(r(i))</v>
      </c>
      <c r="AH103" s="299" t="str">
        <f t="shared" si="5"/>
        <v>(r(ii))</v>
      </c>
      <c r="AI103" s="299" t="str">
        <f t="shared" si="5"/>
        <v>(s)</v>
      </c>
      <c r="AJ103" s="299" t="str">
        <f t="shared" si="5"/>
        <v>(t)</v>
      </c>
      <c r="AK103" s="299" t="str">
        <f t="shared" si="5"/>
        <v>(u)</v>
      </c>
      <c r="AL103" s="299" t="str">
        <f t="shared" si="5"/>
        <v>(v)</v>
      </c>
      <c r="AM103" s="299" t="str">
        <f t="shared" si="5"/>
        <v>(w)</v>
      </c>
      <c r="AN103" s="168"/>
    </row>
    <row r="104" spans="1:40" s="197" customFormat="1" ht="12.75">
      <c r="A104" s="304" t="s">
        <v>278</v>
      </c>
      <c r="B104" s="304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301"/>
      <c r="Q104" s="297"/>
      <c r="R104" s="297"/>
      <c r="S104" s="297"/>
      <c r="AN104" s="168"/>
    </row>
    <row r="105" spans="1:40" s="197" customFormat="1" ht="12.75">
      <c r="A105" s="228"/>
      <c r="B105" s="229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301"/>
      <c r="Q105" s="297"/>
      <c r="R105" s="297"/>
      <c r="S105" s="297"/>
      <c r="AN105" s="168"/>
    </row>
    <row r="106" spans="1:40" s="197" customFormat="1" ht="12.75">
      <c r="A106" s="304" t="s">
        <v>279</v>
      </c>
      <c r="B106" s="304"/>
      <c r="C106" s="305"/>
      <c r="D106" s="305"/>
      <c r="E106" s="305"/>
      <c r="F106" s="305"/>
      <c r="G106" s="305"/>
      <c r="H106" s="305"/>
      <c r="I106" s="305"/>
      <c r="J106" s="301"/>
      <c r="K106" s="301"/>
      <c r="L106" s="305"/>
      <c r="M106" s="305"/>
      <c r="N106" s="305"/>
      <c r="O106" s="305"/>
      <c r="P106" s="301"/>
      <c r="Q106" s="305"/>
      <c r="R106" s="305"/>
      <c r="S106" s="305"/>
      <c r="AN106" s="168"/>
    </row>
    <row r="107" spans="1:40" s="197" customFormat="1" ht="12.75">
      <c r="A107" s="228">
        <v>64</v>
      </c>
      <c r="B107" s="229" t="s">
        <v>280</v>
      </c>
      <c r="C107" s="253">
        <f>C15</f>
        <v>231655</v>
      </c>
      <c r="D107" s="253">
        <f>C17</f>
        <v>259426</v>
      </c>
      <c r="E107" s="253">
        <f>C29</f>
        <v>63638</v>
      </c>
      <c r="F107" s="253">
        <f>C53</f>
        <v>90107</v>
      </c>
      <c r="G107" s="306">
        <f>C55</f>
        <v>644826</v>
      </c>
      <c r="H107" s="253">
        <f>C81</f>
        <v>129361</v>
      </c>
      <c r="I107" s="253">
        <f>C83</f>
        <v>515465</v>
      </c>
      <c r="J107" s="307"/>
      <c r="K107" s="247">
        <v>18555</v>
      </c>
      <c r="L107" s="247">
        <v>7723.02</v>
      </c>
      <c r="M107" s="247">
        <v>0</v>
      </c>
      <c r="N107" s="247">
        <v>0</v>
      </c>
      <c r="O107" s="248">
        <f>SUM(I107)-SUM(K107,L107,M107,N107)</f>
        <v>489186.98</v>
      </c>
      <c r="P107" s="308"/>
      <c r="Q107" s="246"/>
      <c r="R107" s="309"/>
      <c r="S107" s="247">
        <v>47351</v>
      </c>
      <c r="AD107" s="40" t="e">
        <f>IF(AND(N107="",#REF!&lt;&gt;"*"),"",IF(AND(N107="",#REF!="*"),"Error 1.1",IF(ISNUMBER(N107)=FALSE,"Error 1.2",IF(N107&lt;0,"Error 1.3",""))))</f>
        <v>#REF!</v>
      </c>
      <c r="AE107" s="310"/>
      <c r="AI107" s="40" t="e">
        <f>IF(AND(S107="",#REF!&lt;&gt;"*"),"",IF(AND(S107="",#REF!="*"),"Error 1.1",IF(ISNUMBER(S107)=FALSE,"Error 1.2",IF(S107&lt;0,"Error 1.3",""))))</f>
        <v>#REF!</v>
      </c>
      <c r="AN107" s="29" t="e">
        <f>IF(LEN(TRIM(#REF!&amp;#REF!&amp;#REF!&amp;#REF!&amp;#REF!&amp;#REF!&amp;#REF!&amp;#REF!&amp;#REF!&amp;#REF!&amp;#REF!&amp;AD107&amp;AE107&amp;AF107&amp;AG107&amp;AH107&amp;AI107&amp;AJ107&amp;AK107&amp;AL107&amp;AM107))&gt;0,1,0)</f>
        <v>#REF!</v>
      </c>
    </row>
    <row r="108" spans="1:40" s="197" customFormat="1" ht="12.75">
      <c r="A108" s="228">
        <v>65</v>
      </c>
      <c r="B108" s="229" t="s">
        <v>159</v>
      </c>
      <c r="C108" s="253">
        <f>D15</f>
        <v>47295723</v>
      </c>
      <c r="D108" s="253">
        <f>D17</f>
        <v>16301411</v>
      </c>
      <c r="E108" s="253">
        <f>D29</f>
        <v>9449799</v>
      </c>
      <c r="F108" s="253">
        <f>D53</f>
        <v>19378276</v>
      </c>
      <c r="G108" s="306">
        <f>D55</f>
        <v>92425209</v>
      </c>
      <c r="H108" s="253">
        <f>D81</f>
        <v>3546738</v>
      </c>
      <c r="I108" s="253">
        <f>D83</f>
        <v>88878471</v>
      </c>
      <c r="J108" s="307"/>
      <c r="K108" s="247">
        <v>4001359</v>
      </c>
      <c r="L108" s="247">
        <v>5202986.39</v>
      </c>
      <c r="M108" s="247">
        <v>0</v>
      </c>
      <c r="N108" s="247">
        <v>0</v>
      </c>
      <c r="O108" s="248">
        <f>SUM(I108)-SUM(K108,L108,M108,N108)</f>
        <v>79674125.61</v>
      </c>
      <c r="P108" s="308"/>
      <c r="Q108" s="246"/>
      <c r="R108" s="309"/>
      <c r="S108" s="247">
        <v>2863729</v>
      </c>
      <c r="AD108" s="40" t="e">
        <f>IF(AND(N108="",#REF!&lt;&gt;"*"),"",IF(AND(N108="",#REF!="*"),"Error 1.1",IF(ISNUMBER(N108)=FALSE,"Error 1.2",IF(N108&lt;0,"Error 1.3",""))))</f>
        <v>#REF!</v>
      </c>
      <c r="AE108" s="310"/>
      <c r="AI108" s="40" t="e">
        <f>IF(AND(S108="",#REF!&lt;&gt;"*"),"",IF(AND(S108="",#REF!="*"),"Error 1.1",IF(ISNUMBER(S108)=FALSE,"Error 1.2",IF(S108&lt;0,"Error 1.3",""))))</f>
        <v>#REF!</v>
      </c>
      <c r="AN108" s="29" t="e">
        <f>IF(LEN(TRIM(#REF!&amp;#REF!&amp;#REF!&amp;#REF!&amp;#REF!&amp;#REF!&amp;#REF!&amp;#REF!&amp;#REF!&amp;#REF!&amp;#REF!&amp;AD108&amp;AE108&amp;AF108&amp;AG108&amp;AH108&amp;AI108&amp;AJ108&amp;AK108&amp;AL108&amp;AM108))&gt;0,1,0)</f>
        <v>#REF!</v>
      </c>
    </row>
    <row r="109" spans="1:40" s="197" customFormat="1" ht="12.75">
      <c r="A109" s="228">
        <v>66</v>
      </c>
      <c r="B109" s="229" t="s">
        <v>160</v>
      </c>
      <c r="C109" s="253">
        <f>E15</f>
        <v>53185540</v>
      </c>
      <c r="D109" s="253">
        <f>E17</f>
        <v>8692512</v>
      </c>
      <c r="E109" s="253">
        <f>E29</f>
        <v>9924425</v>
      </c>
      <c r="F109" s="253">
        <f>E53</f>
        <v>22794365</v>
      </c>
      <c r="G109" s="306">
        <f>E55</f>
        <v>94596842</v>
      </c>
      <c r="H109" s="253">
        <f>E81</f>
        <v>5412097.85</v>
      </c>
      <c r="I109" s="253">
        <f>E83</f>
        <v>89184744.15</v>
      </c>
      <c r="J109" s="307"/>
      <c r="K109" s="247">
        <v>3669043</v>
      </c>
      <c r="L109" s="247">
        <v>7750803.51</v>
      </c>
      <c r="M109" s="247">
        <v>0</v>
      </c>
      <c r="N109" s="247">
        <v>17139469</v>
      </c>
      <c r="O109" s="248">
        <f>SUM(I109)-SUM(K109,L109,M109,N109)</f>
        <v>60625428.64000001</v>
      </c>
      <c r="P109" s="308"/>
      <c r="Q109" s="246"/>
      <c r="R109" s="309"/>
      <c r="S109" s="247">
        <v>5956725</v>
      </c>
      <c r="AD109" s="40" t="e">
        <f>IF(AND(N109="",#REF!&lt;&gt;"*"),"",IF(AND(N109="",#REF!="*"),"Error 1.1",IF(ISNUMBER(N109)=FALSE,"Error 1.2",IF(N109&lt;0,"Error 1.3",""))))</f>
        <v>#REF!</v>
      </c>
      <c r="AE109" s="310"/>
      <c r="AI109" s="40" t="e">
        <f>IF(AND(S109="",#REF!&lt;&gt;"*"),"",IF(AND(S109="",#REF!="*"),"Error 1.1",IF(ISNUMBER(S109)=FALSE,"Error 1.2",IF(S109&lt;0,"Error 1.3",""))))</f>
        <v>#REF!</v>
      </c>
      <c r="AN109" s="29" t="e">
        <f>IF(LEN(TRIM(#REF!&amp;#REF!&amp;#REF!&amp;#REF!&amp;#REF!&amp;#REF!&amp;#REF!&amp;#REF!&amp;#REF!&amp;#REF!&amp;#REF!&amp;AD109&amp;AE109&amp;AF109&amp;AG109&amp;AH109&amp;AI109&amp;AJ109&amp;AK109&amp;AL109&amp;AM109))&gt;0,1,0)</f>
        <v>#REF!</v>
      </c>
    </row>
    <row r="110" spans="1:40" s="197" customFormat="1" ht="12.75" customHeight="1" thickBot="1">
      <c r="A110" s="228">
        <v>67</v>
      </c>
      <c r="B110" s="229" t="s">
        <v>161</v>
      </c>
      <c r="C110" s="311">
        <f>F15</f>
        <v>4199787</v>
      </c>
      <c r="D110" s="253">
        <f>F17</f>
        <v>2885943</v>
      </c>
      <c r="E110" s="253">
        <f>F29</f>
        <v>971620</v>
      </c>
      <c r="F110" s="253">
        <f>F53</f>
        <v>1463048</v>
      </c>
      <c r="G110" s="306">
        <f>F55</f>
        <v>9520398</v>
      </c>
      <c r="H110" s="253">
        <f>F81</f>
        <v>467138</v>
      </c>
      <c r="I110" s="253">
        <f>F83</f>
        <v>9053260</v>
      </c>
      <c r="J110" s="307"/>
      <c r="K110" s="266">
        <v>262948</v>
      </c>
      <c r="L110" s="247">
        <v>291634.75</v>
      </c>
      <c r="M110" s="247">
        <v>0</v>
      </c>
      <c r="N110" s="247">
        <v>0</v>
      </c>
      <c r="O110" s="268">
        <f>SUM(I110)-SUM(K110,L110,M110,N110)</f>
        <v>8498677.25</v>
      </c>
      <c r="P110" s="308"/>
      <c r="Q110" s="246"/>
      <c r="R110" s="309"/>
      <c r="S110" s="247">
        <v>345942</v>
      </c>
      <c r="AD110" s="40" t="e">
        <f>IF(AND(N110="",#REF!&lt;&gt;"*"),"",IF(AND(N110="",#REF!="*"),"Error 1.1",IF(ISNUMBER(N110)=FALSE,"Error 1.2",IF(N110&lt;0,"Error 1.3",""))))</f>
        <v>#REF!</v>
      </c>
      <c r="AE110" s="312"/>
      <c r="AI110" s="40" t="e">
        <f>IF(AND(S110="",#REF!&lt;&gt;"*"),"",IF(AND(S110="",#REF!="*"),"Error 1.1",IF(ISNUMBER(S110)=FALSE,"Error 1.2",IF(S110&lt;0,"Error 1.3",""))))</f>
        <v>#REF!</v>
      </c>
      <c r="AN110" s="29" t="e">
        <f>IF(LEN(TRIM(#REF!&amp;#REF!&amp;#REF!&amp;#REF!&amp;#REF!&amp;#REF!&amp;#REF!&amp;#REF!&amp;#REF!&amp;#REF!&amp;#REF!&amp;AD110&amp;AE110&amp;AF110&amp;AG110&amp;AH110&amp;AI110&amp;AJ110&amp;AK110&amp;AL110&amp;AM110))&gt;0,1,0)</f>
        <v>#REF!</v>
      </c>
    </row>
    <row r="111" spans="1:40" s="197" customFormat="1" ht="13.5" customHeight="1" thickBot="1">
      <c r="A111" s="228">
        <v>68</v>
      </c>
      <c r="B111" s="250" t="s">
        <v>281</v>
      </c>
      <c r="C111" s="313">
        <f>G15</f>
        <v>104912705</v>
      </c>
      <c r="D111" s="314">
        <f>G17</f>
        <v>28139292</v>
      </c>
      <c r="E111" s="315">
        <f>G29</f>
        <v>20409482</v>
      </c>
      <c r="F111" s="315">
        <f>G53</f>
        <v>43725796</v>
      </c>
      <c r="G111" s="315">
        <f>G55</f>
        <v>197187275</v>
      </c>
      <c r="H111" s="315">
        <f>G81</f>
        <v>9555334.85</v>
      </c>
      <c r="I111" s="315">
        <f>G83</f>
        <v>187631940.15</v>
      </c>
      <c r="J111" s="316"/>
      <c r="K111" s="252">
        <f>SUM(K107:K110)</f>
        <v>7951905</v>
      </c>
      <c r="L111" s="252">
        <f>SUM(L107:L110)</f>
        <v>13253147.669999998</v>
      </c>
      <c r="M111" s="252">
        <f>SUM(M107:M110)</f>
        <v>0</v>
      </c>
      <c r="N111" s="252">
        <f>SUM(N107:N110)</f>
        <v>17139469</v>
      </c>
      <c r="O111" s="252">
        <f>SUM(I111)-SUM(K111,L111,M111,N111)</f>
        <v>149287418.48000002</v>
      </c>
      <c r="P111" s="301"/>
      <c r="Q111" s="317"/>
      <c r="R111" s="317"/>
      <c r="AD111" s="278"/>
      <c r="AE111" s="278"/>
      <c r="AI111" s="318"/>
      <c r="AN111" s="168"/>
    </row>
    <row r="112" spans="1:40" s="197" customFormat="1" ht="12.75">
      <c r="A112" s="229"/>
      <c r="B112" s="229"/>
      <c r="AN112" s="168"/>
    </row>
    <row r="113" spans="1:40" s="197" customFormat="1" ht="12.75">
      <c r="A113" s="214" t="s">
        <v>282</v>
      </c>
      <c r="B113" s="214"/>
      <c r="C113" s="214"/>
      <c r="D113" s="214"/>
      <c r="E113" s="214"/>
      <c r="F113" s="214"/>
      <c r="G113" s="301"/>
      <c r="H113" s="301"/>
      <c r="I113" s="301"/>
      <c r="J113" s="301"/>
      <c r="K113" s="301"/>
      <c r="L113" s="301"/>
      <c r="M113" s="301"/>
      <c r="N113" s="301"/>
      <c r="O113" s="319"/>
      <c r="P113" s="246"/>
      <c r="Q113" s="301"/>
      <c r="R113" s="301"/>
      <c r="S113" s="305"/>
      <c r="T113" s="305"/>
      <c r="U113" s="305"/>
      <c r="V113" s="305"/>
      <c r="AN113" s="168"/>
    </row>
    <row r="114" spans="1:40" s="197" customFormat="1" ht="12.75">
      <c r="A114" s="228">
        <v>69</v>
      </c>
      <c r="B114" s="229" t="s">
        <v>158</v>
      </c>
      <c r="C114" s="247">
        <v>0</v>
      </c>
      <c r="D114" s="247">
        <v>0</v>
      </c>
      <c r="E114" s="247">
        <v>0</v>
      </c>
      <c r="F114" s="247">
        <v>0</v>
      </c>
      <c r="G114" s="248">
        <f>SUM(C114:F114)</f>
        <v>0</v>
      </c>
      <c r="H114" s="247">
        <v>0</v>
      </c>
      <c r="I114" s="248">
        <f>SUM(G114)-SUM(H114)</f>
        <v>0</v>
      </c>
      <c r="J114" s="308"/>
      <c r="K114" s="247">
        <v>0</v>
      </c>
      <c r="L114" s="247">
        <v>0</v>
      </c>
      <c r="M114" s="247">
        <v>0</v>
      </c>
      <c r="N114" s="247">
        <v>0</v>
      </c>
      <c r="O114" s="248">
        <f>SUM(I114)-SUM(K114,L114,M114,N114)</f>
        <v>0</v>
      </c>
      <c r="P114" s="308"/>
      <c r="Q114" s="247">
        <v>0</v>
      </c>
      <c r="R114" s="247">
        <v>0</v>
      </c>
      <c r="S114" s="247">
        <v>0</v>
      </c>
      <c r="Y114" s="253">
        <v>0</v>
      </c>
      <c r="Z114" s="320">
        <v>-0.5</v>
      </c>
      <c r="AA114" s="320">
        <v>0.5</v>
      </c>
      <c r="AB114" s="253">
        <v>1000000</v>
      </c>
      <c r="AD114" s="40" t="e">
        <f>IF(AND(N114="",#REF!&lt;&gt;"*"),"",IF(AND(N114="",#REF!="*"),"Error 1.1",IF(ISNUMBER(N114)=FALSE,"Error 1.2",IF(N114&lt;0,"Error 1.3",""))))</f>
        <v>#REF!</v>
      </c>
      <c r="AE114" s="310"/>
      <c r="AG114" s="40" t="e">
        <f>IF(AND(Q114="",#REF!&lt;&gt;"*"),"",IF(AND(Q114="",#REF!="*"),"Error 1.1",IF(ISNUMBER(Q114)=FALSE,"Error 1.2",IF(Q114&lt;0,"Error 1.3",""))))</f>
        <v>#REF!</v>
      </c>
      <c r="AH114" s="40" t="e">
        <f>IF(AND(R114="",#REF!&lt;&gt;"*"),"",IF(AND(R114="",#REF!="*"),"Error 1.1",IF(ISNUMBER(R114)=FALSE,"Error 1.2",IF(R114&lt;0,"Error 1.3",""))))</f>
        <v>#REF!</v>
      </c>
      <c r="AI114" s="40" t="e">
        <f>IF(AND(S114="",#REF!&lt;&gt;"*"),"",IF(AND(S114="",#REF!="*"),"Error 1.1",IF(ISNUMBER(S114)=FALSE,"Error 1.2",IF(S114&lt;0,"Error 1.3",""))))</f>
        <v>#REF!</v>
      </c>
      <c r="AN114" s="29" t="e">
        <f>IF(LEN(TRIM(#REF!&amp;#REF!&amp;#REF!&amp;#REF!&amp;#REF!&amp;#REF!&amp;#REF!&amp;#REF!&amp;#REF!&amp;#REF!&amp;#REF!&amp;AD114&amp;AE114&amp;AF114&amp;AG114&amp;AH114&amp;AI114&amp;AJ114&amp;AK114&amp;AL114&amp;AM114))&gt;0,1,0)</f>
        <v>#REF!</v>
      </c>
    </row>
    <row r="115" spans="1:40" s="197" customFormat="1" ht="12.75">
      <c r="A115" s="228">
        <v>70</v>
      </c>
      <c r="B115" s="229" t="s">
        <v>159</v>
      </c>
      <c r="C115" s="247">
        <v>455352</v>
      </c>
      <c r="D115" s="247">
        <v>0</v>
      </c>
      <c r="E115" s="247">
        <v>77886</v>
      </c>
      <c r="F115" s="247">
        <v>0</v>
      </c>
      <c r="G115" s="248">
        <f>SUM(C115:F115)</f>
        <v>533238</v>
      </c>
      <c r="H115" s="247">
        <v>525694.25</v>
      </c>
      <c r="I115" s="248">
        <f>SUM(G115)-SUM(H115)</f>
        <v>7543.75</v>
      </c>
      <c r="J115" s="308"/>
      <c r="K115" s="247">
        <v>0</v>
      </c>
      <c r="L115" s="247">
        <v>0</v>
      </c>
      <c r="M115" s="247">
        <v>0</v>
      </c>
      <c r="N115" s="247">
        <v>0</v>
      </c>
      <c r="O115" s="248">
        <f>SUM(I115)-SUM(K115,L115,M115,N115)</f>
        <v>7543.75</v>
      </c>
      <c r="P115" s="308"/>
      <c r="Q115" s="247">
        <v>0</v>
      </c>
      <c r="R115" s="247">
        <v>0</v>
      </c>
      <c r="S115" s="247">
        <v>0</v>
      </c>
      <c r="Y115" s="253">
        <v>521004</v>
      </c>
      <c r="Z115" s="320">
        <v>-0.5</v>
      </c>
      <c r="AA115" s="320">
        <v>0.5</v>
      </c>
      <c r="AB115" s="253">
        <v>1000000</v>
      </c>
      <c r="AD115" s="40" t="e">
        <f>IF(AND(N115="",#REF!&lt;&gt;"*"),"",IF(AND(N115="",#REF!="*"),"Error 1.1",IF(ISNUMBER(N115)=FALSE,"Error 1.2",IF(N115&lt;0,"Error 1.3",""))))</f>
        <v>#REF!</v>
      </c>
      <c r="AE115" s="310"/>
      <c r="AG115" s="40" t="e">
        <f>IF(AND(Q115="",#REF!&lt;&gt;"*"),"",IF(AND(Q115="",#REF!="*"),"Error 1.1",IF(ISNUMBER(Q115)=FALSE,"Error 1.2",IF(Q115&lt;0,"Error 1.3",""))))</f>
        <v>#REF!</v>
      </c>
      <c r="AH115" s="40" t="e">
        <f>IF(AND(R115="",#REF!&lt;&gt;"*"),"",IF(AND(R115="",#REF!="*"),"Error 1.1",IF(ISNUMBER(R115)=FALSE,"Error 1.2",IF(R115&lt;0,"Error 1.3",""))))</f>
        <v>#REF!</v>
      </c>
      <c r="AI115" s="40" t="e">
        <f>IF(AND(S115="",#REF!&lt;&gt;"*"),"",IF(AND(S115="",#REF!="*"),"Error 1.1",IF(ISNUMBER(S115)=FALSE,"Error 1.2",IF(S115&lt;0,"Error 1.3",""))))</f>
        <v>#REF!</v>
      </c>
      <c r="AN115" s="29" t="e">
        <f>IF(LEN(TRIM(#REF!&amp;#REF!&amp;#REF!&amp;#REF!&amp;#REF!&amp;#REF!&amp;#REF!&amp;#REF!&amp;#REF!&amp;#REF!&amp;#REF!&amp;AD115&amp;AE115&amp;AF115&amp;AG115&amp;AH115&amp;AI115&amp;AJ115&amp;AK115&amp;AL115&amp;AM115))&gt;0,1,0)</f>
        <v>#REF!</v>
      </c>
    </row>
    <row r="116" spans="1:40" s="197" customFormat="1" ht="12.75">
      <c r="A116" s="228">
        <v>71</v>
      </c>
      <c r="B116" s="229" t="s">
        <v>160</v>
      </c>
      <c r="C116" s="247">
        <v>74291</v>
      </c>
      <c r="D116" s="247">
        <v>0</v>
      </c>
      <c r="E116" s="247">
        <v>0</v>
      </c>
      <c r="F116" s="247">
        <v>255000</v>
      </c>
      <c r="G116" s="248">
        <f>SUM(C116:F116)</f>
        <v>329291</v>
      </c>
      <c r="H116" s="247">
        <v>65159.5</v>
      </c>
      <c r="I116" s="248">
        <f>SUM(G116)-SUM(H116)</f>
        <v>264131.5</v>
      </c>
      <c r="J116" s="308"/>
      <c r="K116" s="247">
        <v>0</v>
      </c>
      <c r="L116" s="247">
        <v>0</v>
      </c>
      <c r="M116" s="247">
        <v>0</v>
      </c>
      <c r="N116" s="247">
        <v>0</v>
      </c>
      <c r="O116" s="248">
        <f>SUM(I116)-SUM(K116,L116,M116,N116)</f>
        <v>264131.5</v>
      </c>
      <c r="P116" s="308"/>
      <c r="Q116" s="247">
        <v>0</v>
      </c>
      <c r="R116" s="247">
        <v>0</v>
      </c>
      <c r="S116" s="247">
        <v>0</v>
      </c>
      <c r="Y116" s="253">
        <v>67824</v>
      </c>
      <c r="Z116" s="320">
        <v>-0.5</v>
      </c>
      <c r="AA116" s="320">
        <v>0.5</v>
      </c>
      <c r="AB116" s="253">
        <v>1000000</v>
      </c>
      <c r="AD116" s="40" t="e">
        <f>IF(AND(N116="",#REF!&lt;&gt;"*"),"",IF(AND(N116="",#REF!="*"),"Error 1.1",IF(ISNUMBER(N116)=FALSE,"Error 1.2",IF(N116&lt;0,"Error 1.3",""))))</f>
        <v>#REF!</v>
      </c>
      <c r="AE116" s="310"/>
      <c r="AG116" s="40" t="e">
        <f>IF(AND(Q116="",#REF!&lt;&gt;"*"),"",IF(AND(Q116="",#REF!="*"),"Error 1.1",IF(ISNUMBER(Q116)=FALSE,"Error 1.2",IF(Q116&lt;0,"Error 1.3",""))))</f>
        <v>#REF!</v>
      </c>
      <c r="AH116" s="40" t="e">
        <f>IF(AND(R116="",#REF!&lt;&gt;"*"),"",IF(AND(R116="",#REF!="*"),"Error 1.1",IF(ISNUMBER(R116)=FALSE,"Error 1.2",IF(R116&lt;0,"Error 1.3",""))))</f>
        <v>#REF!</v>
      </c>
      <c r="AI116" s="40" t="e">
        <f>IF(AND(S116="",#REF!&lt;&gt;"*"),"",IF(AND(S116="",#REF!="*"),"Error 1.1",IF(ISNUMBER(S116)=FALSE,"Error 1.2",IF(S116&lt;0,"Error 1.3",""))))</f>
        <v>#REF!</v>
      </c>
      <c r="AN116" s="29" t="e">
        <f>IF(LEN(TRIM(#REF!&amp;#REF!&amp;#REF!&amp;#REF!&amp;#REF!&amp;#REF!&amp;#REF!&amp;#REF!&amp;#REF!&amp;#REF!&amp;#REF!&amp;AD116&amp;AE116&amp;AF116&amp;AG116&amp;AH116&amp;AI116&amp;AJ116&amp;AK116&amp;AL116&amp;AM116))&gt;0,1,0)</f>
        <v>#REF!</v>
      </c>
    </row>
    <row r="117" spans="1:40" s="197" customFormat="1" ht="12.75">
      <c r="A117" s="228">
        <v>72</v>
      </c>
      <c r="B117" s="229" t="s">
        <v>161</v>
      </c>
      <c r="C117" s="247">
        <v>7215</v>
      </c>
      <c r="D117" s="247">
        <v>0</v>
      </c>
      <c r="E117" s="247">
        <v>11802.5</v>
      </c>
      <c r="F117" s="247">
        <v>0</v>
      </c>
      <c r="G117" s="248">
        <f>SUM(C117:F117)</f>
        <v>19017.5</v>
      </c>
      <c r="H117" s="247">
        <v>48794.54</v>
      </c>
      <c r="I117" s="248">
        <f>SUM(G117)-SUM(H117)</f>
        <v>-29777.04</v>
      </c>
      <c r="J117" s="308"/>
      <c r="K117" s="247">
        <v>0</v>
      </c>
      <c r="L117" s="247">
        <v>0</v>
      </c>
      <c r="M117" s="247">
        <v>0</v>
      </c>
      <c r="N117" s="247">
        <v>0</v>
      </c>
      <c r="O117" s="248">
        <f>SUM(I117)-SUM(K117,L117,M117,N117)</f>
        <v>-29777.04</v>
      </c>
      <c r="Q117" s="247">
        <v>0</v>
      </c>
      <c r="R117" s="247">
        <v>0</v>
      </c>
      <c r="S117" s="247">
        <v>0</v>
      </c>
      <c r="Y117" s="253">
        <v>26740</v>
      </c>
      <c r="Z117" s="320">
        <v>-0.5</v>
      </c>
      <c r="AA117" s="320">
        <v>0.5</v>
      </c>
      <c r="AB117" s="253">
        <v>1000000</v>
      </c>
      <c r="AD117" s="40" t="e">
        <f>IF(AND(N117="",#REF!&lt;&gt;"*"),"",IF(AND(N117="",#REF!="*"),"Error 1.1",IF(ISNUMBER(N117)=FALSE,"Error 1.2",IF(N117&lt;0,"Error 1.3",""))))</f>
        <v>#REF!</v>
      </c>
      <c r="AE117" s="310"/>
      <c r="AG117" s="40" t="e">
        <f>IF(AND(Q117="",#REF!&lt;&gt;"*"),"",IF(AND(Q117="",#REF!="*"),"Error 1.1",IF(ISNUMBER(Q117)=FALSE,"Error 1.2",IF(Q117&lt;0,"Error 1.3",""))))</f>
        <v>#REF!</v>
      </c>
      <c r="AH117" s="40" t="e">
        <f>IF(AND(R117="",#REF!&lt;&gt;"*"),"",IF(AND(R117="",#REF!="*"),"Error 1.1",IF(ISNUMBER(R117)=FALSE,"Error 1.2",IF(R117&lt;0,"Error 1.3",""))))</f>
        <v>#REF!</v>
      </c>
      <c r="AI117" s="40" t="e">
        <f>IF(AND(S117="",#REF!&lt;&gt;"*"),"",IF(AND(S117="",#REF!="*"),"Error 1.1",IF(ISNUMBER(S117)=FALSE,"Error 1.2",IF(S117&lt;0,"Error 1.3",""))))</f>
        <v>#REF!</v>
      </c>
      <c r="AN117" s="29" t="e">
        <f>IF(LEN(TRIM(#REF!&amp;#REF!&amp;#REF!&amp;#REF!&amp;#REF!&amp;#REF!&amp;#REF!&amp;#REF!&amp;#REF!&amp;#REF!&amp;#REF!&amp;AD117&amp;AE117&amp;AF117&amp;AG117&amp;AH117&amp;AI117&amp;AJ117&amp;AK117&amp;AL117&amp;AM117))&gt;0,1,0)</f>
        <v>#REF!</v>
      </c>
    </row>
    <row r="118" spans="1:40" s="197" customFormat="1" ht="12.75">
      <c r="A118" s="228"/>
      <c r="B118" s="229"/>
      <c r="C118" s="321"/>
      <c r="J118" s="246"/>
      <c r="K118" s="322"/>
      <c r="L118" s="246"/>
      <c r="O118" s="322"/>
      <c r="P118" s="246"/>
      <c r="Y118" s="323"/>
      <c r="Z118" s="323"/>
      <c r="AA118" s="323"/>
      <c r="AB118" s="323"/>
      <c r="AN118" s="168"/>
    </row>
    <row r="119" spans="1:40" s="197" customFormat="1" ht="25.5" customHeight="1">
      <c r="A119" s="277">
        <v>73</v>
      </c>
      <c r="B119" s="324" t="s">
        <v>283</v>
      </c>
      <c r="C119" s="282">
        <v>19126.14</v>
      </c>
      <c r="D119" s="282">
        <v>0</v>
      </c>
      <c r="E119" s="282">
        <v>1848173.31</v>
      </c>
      <c r="F119" s="282">
        <v>2533334.53</v>
      </c>
      <c r="G119" s="284">
        <f>SUM(C119:F119)</f>
        <v>4400633.9799999995</v>
      </c>
      <c r="H119" s="282">
        <v>672298.58</v>
      </c>
      <c r="I119" s="284">
        <f>SUM(G119)-SUM(H119)</f>
        <v>3728335.3999999994</v>
      </c>
      <c r="J119" s="308"/>
      <c r="K119" s="282">
        <v>0</v>
      </c>
      <c r="L119" s="282">
        <v>127500.2</v>
      </c>
      <c r="M119" s="282">
        <v>0</v>
      </c>
      <c r="N119" s="282">
        <v>0</v>
      </c>
      <c r="O119" s="284">
        <f>SUM(I119)-SUM(K119,L119,M119,N119)</f>
        <v>3600835.1999999993</v>
      </c>
      <c r="P119" s="308"/>
      <c r="Q119" s="246"/>
      <c r="R119" s="246"/>
      <c r="Y119" s="253">
        <v>4987870</v>
      </c>
      <c r="Z119" s="320">
        <v>-0.5</v>
      </c>
      <c r="AA119" s="320">
        <v>0.5</v>
      </c>
      <c r="AB119" s="253">
        <v>1000000</v>
      </c>
      <c r="AD119" s="156" t="e">
        <f>IF(AND(N119="",#REF!&lt;&gt;"*"),"",IF(AND(N119="",#REF!="*"),"Error 1.1",IF(ISNUMBER(N119)=FALSE,"Error 1.2",IF(N119&lt;0,"Error 1.3",""))))</f>
        <v>#REF!</v>
      </c>
      <c r="AE119" s="310"/>
      <c r="AN119" s="29" t="e">
        <f>IF(LEN(TRIM(#REF!&amp;#REF!&amp;#REF!&amp;#REF!&amp;#REF!&amp;#REF!&amp;#REF!&amp;#REF!&amp;#REF!&amp;#REF!&amp;#REF!&amp;AD119&amp;AE119&amp;AF119&amp;AG119&amp;AH119&amp;AI119&amp;AJ119&amp;AK119&amp;AL119&amp;AM119))&gt;0,1,0)</f>
        <v>#REF!</v>
      </c>
    </row>
    <row r="120" spans="1:40" s="197" customFormat="1" ht="12.75">
      <c r="A120" s="228">
        <v>74</v>
      </c>
      <c r="B120" s="229" t="s">
        <v>284</v>
      </c>
      <c r="C120" s="247">
        <v>0</v>
      </c>
      <c r="D120" s="247">
        <v>0</v>
      </c>
      <c r="E120" s="247">
        <v>0</v>
      </c>
      <c r="F120" s="247">
        <v>5980616.55</v>
      </c>
      <c r="G120" s="248">
        <f>SUM(C120:F120)</f>
        <v>5980616.55</v>
      </c>
      <c r="H120" s="282">
        <v>837278.73</v>
      </c>
      <c r="I120" s="248">
        <f>SUM(G120)-SUM(H120)</f>
        <v>5143337.82</v>
      </c>
      <c r="J120" s="308"/>
      <c r="K120" s="247">
        <v>0</v>
      </c>
      <c r="L120" s="247">
        <v>0</v>
      </c>
      <c r="M120" s="247">
        <v>0</v>
      </c>
      <c r="N120" s="247">
        <v>0</v>
      </c>
      <c r="O120" s="248">
        <f>SUM(I120)-SUM(K120,L120,M120,N120)</f>
        <v>5143337.82</v>
      </c>
      <c r="P120" s="308"/>
      <c r="Q120" s="265"/>
      <c r="R120" s="246"/>
      <c r="Y120" s="253">
        <v>6101720</v>
      </c>
      <c r="Z120" s="320">
        <v>-0.05</v>
      </c>
      <c r="AA120" s="320">
        <v>0.2</v>
      </c>
      <c r="AB120" s="253">
        <v>1000000</v>
      </c>
      <c r="AD120" s="40" t="e">
        <f>IF(AND(N120="",#REF!&lt;&gt;"*"),"",IF(AND(N120="",#REF!="*"),"Error 1.1",IF(ISNUMBER(N120)=FALSE,"Error 1.2",IF(N120&lt;0,"Error 1.3",""))))</f>
        <v>#REF!</v>
      </c>
      <c r="AE120" s="310"/>
      <c r="AN120" s="29" t="e">
        <f>IF(LEN(TRIM(#REF!&amp;#REF!&amp;#REF!&amp;#REF!&amp;#REF!&amp;#REF!&amp;#REF!&amp;#REF!&amp;#REF!&amp;#REF!&amp;#REF!&amp;AD120&amp;AE120&amp;AF120&amp;AG120&amp;AH120&amp;AI120&amp;AJ120&amp;AK120&amp;AL120&amp;AM120))&gt;0,1,0)</f>
        <v>#REF!</v>
      </c>
    </row>
    <row r="121" spans="1:40" s="197" customFormat="1" ht="12.75">
      <c r="A121" s="228">
        <v>75</v>
      </c>
      <c r="B121" s="229" t="s">
        <v>285</v>
      </c>
      <c r="C121" s="247">
        <v>1338242.93</v>
      </c>
      <c r="D121" s="247">
        <v>2576.92</v>
      </c>
      <c r="E121" s="247">
        <v>547381.17</v>
      </c>
      <c r="F121" s="247">
        <v>603293.05</v>
      </c>
      <c r="G121" s="248">
        <f>SUM(C121:F121)</f>
        <v>2491494.0700000003</v>
      </c>
      <c r="H121" s="282">
        <v>514228.46</v>
      </c>
      <c r="I121" s="248">
        <f>SUM(G121)-SUM(H121)</f>
        <v>1977265.6100000003</v>
      </c>
      <c r="J121" s="308"/>
      <c r="K121" s="247">
        <v>0</v>
      </c>
      <c r="L121" s="247">
        <v>388964</v>
      </c>
      <c r="M121" s="247">
        <v>0</v>
      </c>
      <c r="N121" s="247">
        <v>0</v>
      </c>
      <c r="O121" s="248">
        <f>SUM(I121)-SUM(K121,L121,M121,N121)</f>
        <v>1588301.6100000003</v>
      </c>
      <c r="P121" s="308"/>
      <c r="Q121" s="247">
        <v>0</v>
      </c>
      <c r="R121" s="247">
        <v>0</v>
      </c>
      <c r="Y121" s="253">
        <v>2008366</v>
      </c>
      <c r="Z121" s="320">
        <v>-0.5</v>
      </c>
      <c r="AA121" s="320">
        <v>0.5</v>
      </c>
      <c r="AB121" s="253">
        <v>1000000</v>
      </c>
      <c r="AD121" s="40" t="e">
        <f>IF(AND(N121="",#REF!&lt;&gt;"*"),"",IF(AND(N121="",#REF!="*"),"Error 1.1",IF(ISNUMBER(N121)=FALSE,"Error 1.2",IF(N121&lt;0,"Error 1.3",""))))</f>
        <v>#REF!</v>
      </c>
      <c r="AE121" s="310"/>
      <c r="AG121" s="40" t="e">
        <f>IF(AND(Q121="",#REF!&lt;&gt;"*"),"",IF(AND(Q121="",#REF!="*"),"Error 1.1",IF(ISNUMBER(Q121)=FALSE,"Error 1.2",IF(Q121&lt;0,"Error 1.3",""))))</f>
        <v>#REF!</v>
      </c>
      <c r="AH121" s="40" t="e">
        <f>IF(AND(R121="",#REF!&lt;&gt;"*"),"",IF(AND(R121="",#REF!="*"),"Error 1.1",IF(ISNUMBER(R121)=FALSE,"Error 1.2",IF(R121&lt;0,"Error 1.3",""))))</f>
        <v>#REF!</v>
      </c>
      <c r="AI121" s="308"/>
      <c r="AN121" s="29" t="e">
        <f>IF(LEN(TRIM(#REF!&amp;#REF!&amp;#REF!&amp;#REF!&amp;#REF!&amp;#REF!&amp;#REF!&amp;#REF!&amp;#REF!&amp;#REF!&amp;#REF!&amp;AD121&amp;AE121&amp;AF121&amp;AG121&amp;AH121&amp;AI121&amp;AJ121&amp;AK121&amp;AL121&amp;AM121))&gt;0,1,0)</f>
        <v>#REF!</v>
      </c>
    </row>
    <row r="122" spans="1:40" s="197" customFormat="1" ht="12.75">
      <c r="A122" s="228">
        <v>76</v>
      </c>
      <c r="B122" s="229" t="s">
        <v>286</v>
      </c>
      <c r="C122" s="247">
        <v>0</v>
      </c>
      <c r="D122" s="247">
        <v>0</v>
      </c>
      <c r="E122" s="247">
        <v>0</v>
      </c>
      <c r="F122" s="247">
        <v>0</v>
      </c>
      <c r="G122" s="248">
        <f>SUM(C122:F122)</f>
        <v>0</v>
      </c>
      <c r="H122" s="282">
        <v>0</v>
      </c>
      <c r="I122" s="248">
        <f>SUM(G122)-SUM(H122)</f>
        <v>0</v>
      </c>
      <c r="J122" s="308"/>
      <c r="K122" s="247">
        <v>0</v>
      </c>
      <c r="L122" s="247">
        <v>0</v>
      </c>
      <c r="M122" s="247">
        <v>0</v>
      </c>
      <c r="N122" s="247">
        <v>0</v>
      </c>
      <c r="O122" s="248">
        <f>SUM(I122)-SUM(K122,L122,M122,N122)</f>
        <v>0</v>
      </c>
      <c r="P122" s="308"/>
      <c r="Q122" s="246"/>
      <c r="R122" s="246"/>
      <c r="Y122" s="253">
        <v>0</v>
      </c>
      <c r="Z122" s="320">
        <v>-0.3</v>
      </c>
      <c r="AA122" s="320">
        <v>0.3</v>
      </c>
      <c r="AB122" s="253">
        <v>1000000</v>
      </c>
      <c r="AD122" s="40" t="e">
        <f>IF(AND(N122="",#REF!&lt;&gt;"*"),"",IF(AND(N122="",#REF!="*"),"Error 1.1",IF(ISNUMBER(N122)=FALSE,"Error 1.2",IF(N122&lt;0,"Error 1.3",""))))</f>
        <v>#REF!</v>
      </c>
      <c r="AE122" s="310"/>
      <c r="AN122" s="29" t="e">
        <f>IF(LEN(TRIM(#REF!&amp;#REF!&amp;#REF!&amp;#REF!&amp;#REF!&amp;#REF!&amp;#REF!&amp;#REF!&amp;#REF!&amp;#REF!&amp;#REF!&amp;AD122&amp;AE122&amp;AF122&amp;AG122&amp;AH122&amp;AI122&amp;AJ122&amp;AK122&amp;AL122&amp;AM122))&gt;0,1,0)</f>
        <v>#REF!</v>
      </c>
    </row>
    <row r="123" spans="1:40" s="197" customFormat="1" ht="25.5" customHeight="1">
      <c r="A123" s="277">
        <v>77</v>
      </c>
      <c r="B123" s="325" t="s">
        <v>287</v>
      </c>
      <c r="C123" s="282">
        <v>619152.92</v>
      </c>
      <c r="D123" s="282">
        <v>38114.38</v>
      </c>
      <c r="E123" s="282">
        <v>341384.39</v>
      </c>
      <c r="F123" s="282">
        <v>1694765.43</v>
      </c>
      <c r="G123" s="284">
        <f>SUM(C123:F123)</f>
        <v>2693417.12</v>
      </c>
      <c r="H123" s="282">
        <v>320546.91</v>
      </c>
      <c r="I123" s="284">
        <f>SUM(G123)-SUM(H123)</f>
        <v>2372870.21</v>
      </c>
      <c r="J123" s="326"/>
      <c r="K123" s="282">
        <v>0</v>
      </c>
      <c r="L123" s="282">
        <v>29290</v>
      </c>
      <c r="M123" s="282">
        <v>0</v>
      </c>
      <c r="N123" s="282">
        <v>1684422</v>
      </c>
      <c r="O123" s="284">
        <f>SUM(I123)-SUM(K123,L123,M123,N123)</f>
        <v>659158.21</v>
      </c>
      <c r="P123" s="326"/>
      <c r="Q123" s="282">
        <v>475621</v>
      </c>
      <c r="R123" s="282">
        <v>0</v>
      </c>
      <c r="S123" s="327"/>
      <c r="T123" s="327"/>
      <c r="U123" s="327"/>
      <c r="V123" s="327"/>
      <c r="W123" s="327"/>
      <c r="X123" s="327"/>
      <c r="Y123" s="253">
        <v>2074370</v>
      </c>
      <c r="Z123" s="320">
        <v>-0.5</v>
      </c>
      <c r="AA123" s="320">
        <v>0.5</v>
      </c>
      <c r="AB123" s="253">
        <v>1000000</v>
      </c>
      <c r="AD123" s="156" t="e">
        <f>IF(AND(N123="",#REF!&lt;&gt;"*"),"",IF(AND(N123="",#REF!="*"),"Error 1.1",IF(ISNUMBER(N123)=FALSE,"Error 1.2",IF(N123&lt;0,"Error 1.3",""))))</f>
        <v>#REF!</v>
      </c>
      <c r="AE123" s="310"/>
      <c r="AG123" s="156" t="e">
        <f>IF(AND(Q123="",#REF!&lt;&gt;"*"),"",IF(AND(Q123="",#REF!="*"),"Error 1.1",IF(ISNUMBER(Q123)=FALSE,"Error 1.2",IF(Q123&lt;0,"Error 1.3",""))))</f>
        <v>#REF!</v>
      </c>
      <c r="AH123" s="156" t="e">
        <f>IF(AND(R123="",#REF!&lt;&gt;"*"),"",IF(AND(R123="",#REF!="*"),"Error 1.1",IF(ISNUMBER(R123)=FALSE,"Error 1.2",IF(R123&lt;0,"Error 1.3",""))))</f>
        <v>#REF!</v>
      </c>
      <c r="AI123" s="308"/>
      <c r="AN123" s="29" t="e">
        <f>IF(LEN(TRIM(#REF!&amp;#REF!&amp;#REF!&amp;#REF!&amp;#REF!&amp;#REF!&amp;#REF!&amp;#REF!&amp;#REF!&amp;#REF!&amp;#REF!&amp;AD123&amp;AE123&amp;AF123&amp;AG123&amp;AH123&amp;AI123&amp;AJ123&amp;AK123&amp;AL123&amp;AM123))&gt;0,1,0)</f>
        <v>#REF!</v>
      </c>
    </row>
    <row r="124" spans="1:40" s="197" customFormat="1" ht="12.75">
      <c r="A124" s="228"/>
      <c r="B124" s="229"/>
      <c r="C124" s="246"/>
      <c r="D124" s="246"/>
      <c r="E124" s="246"/>
      <c r="F124" s="246"/>
      <c r="G124" s="328"/>
      <c r="H124" s="246"/>
      <c r="I124" s="329"/>
      <c r="J124" s="246"/>
      <c r="K124" s="246"/>
      <c r="L124" s="246"/>
      <c r="M124" s="246"/>
      <c r="N124" s="246"/>
      <c r="O124" s="330"/>
      <c r="P124" s="246"/>
      <c r="Q124" s="246"/>
      <c r="R124" s="246"/>
      <c r="AN124" s="168"/>
    </row>
    <row r="125" spans="1:40" s="197" customFormat="1" ht="13.5" customHeight="1">
      <c r="A125" s="331">
        <v>78</v>
      </c>
      <c r="B125" s="332" t="s">
        <v>288</v>
      </c>
      <c r="C125" s="284">
        <f>SUM(C111)+SUM(C114:C117)+SUM(C119:C123)</f>
        <v>107426084.99</v>
      </c>
      <c r="D125" s="284">
        <f>SUM(D111)+SUM(D114:D117)+SUM(D119:D123)</f>
        <v>28179983.3</v>
      </c>
      <c r="E125" s="284">
        <f>SUM(E111)+SUM(E114:E117)+SUM(E119:E123)</f>
        <v>23236109.37</v>
      </c>
      <c r="F125" s="284">
        <f>SUM(F111)+SUM(F114:F117)+SUM(F119:F123)</f>
        <v>54792805.56</v>
      </c>
      <c r="G125" s="284">
        <f>SUM(C125:F125)</f>
        <v>213634983.22</v>
      </c>
      <c r="H125" s="284">
        <f>SUM(H111)+SUM(H114:H117)+SUM(H119:H123)</f>
        <v>12539335.82</v>
      </c>
      <c r="I125" s="284">
        <f>SUM(G125)-SUM(H125)</f>
        <v>201095647.4</v>
      </c>
      <c r="J125" s="246"/>
      <c r="K125" s="284">
        <f>SUM(K111)+SUM(K114:K117)+SUM(K119:K123)</f>
        <v>7951905</v>
      </c>
      <c r="L125" s="284">
        <f>SUM(L111)+SUM(L114:L117)+SUM(L119:L123)</f>
        <v>13798901.869999997</v>
      </c>
      <c r="M125" s="284">
        <f>SUM(M111)+SUM(M114:M117)+SUM(M119:M123)</f>
        <v>0</v>
      </c>
      <c r="N125" s="284">
        <f>SUM(N111)+SUM(N114:N117)+SUM(N119:N123)</f>
        <v>18823891</v>
      </c>
      <c r="O125" s="248">
        <f>SUM(I125)-SUM(K125,L125,M125,N125)</f>
        <v>160520949.53</v>
      </c>
      <c r="P125" s="246"/>
      <c r="Q125" s="284">
        <f>SUM(Q111)+SUM(Q114:Q117)+SUM(Q119:Q123)</f>
        <v>475621</v>
      </c>
      <c r="R125" s="284">
        <f>SUM(R111)+SUM(R114:R117)+SUM(R119:R123)</f>
        <v>0</v>
      </c>
      <c r="AD125" s="310"/>
      <c r="AE125" s="310"/>
      <c r="AG125" s="310"/>
      <c r="AH125" s="310"/>
      <c r="AI125" s="308"/>
      <c r="AN125" s="168"/>
    </row>
    <row r="126" spans="1:40" s="197" customFormat="1" ht="12.75">
      <c r="A126" s="229"/>
      <c r="B126" s="229"/>
      <c r="AN126" s="168"/>
    </row>
    <row r="127" spans="1:40" s="197" customFormat="1" ht="12.75">
      <c r="A127" s="333">
        <v>79</v>
      </c>
      <c r="B127" s="228" t="s">
        <v>289</v>
      </c>
      <c r="C127" s="246"/>
      <c r="D127" s="246"/>
      <c r="E127" s="334"/>
      <c r="F127" s="246"/>
      <c r="G127" s="247">
        <v>776670</v>
      </c>
      <c r="H127" s="247">
        <v>0</v>
      </c>
      <c r="I127" s="248">
        <f>SUM(G127)-SUM(H127)</f>
        <v>776670</v>
      </c>
      <c r="J127" s="246"/>
      <c r="K127" s="247">
        <v>0</v>
      </c>
      <c r="L127" s="247">
        <v>574089</v>
      </c>
      <c r="M127" s="247">
        <v>0</v>
      </c>
      <c r="N127" s="247">
        <v>0</v>
      </c>
      <c r="O127" s="248">
        <f>SUM(I127)-SUM(K127,L127,M127,N127)</f>
        <v>202581</v>
      </c>
      <c r="AD127" s="40" t="e">
        <f>IF(AND(N127="",#REF!&lt;&gt;"*"),"",IF(AND(N127="",#REF!="*"),"Error 1.1",IF(ISNUMBER(N127)=FALSE,"Error 1.2",IF(N127&lt;0,"Error 1.3",""))))</f>
        <v>#REF!</v>
      </c>
      <c r="AE127" s="310"/>
      <c r="AN127" s="29" t="e">
        <f>IF(LEN(TRIM(#REF!&amp;#REF!&amp;#REF!&amp;#REF!&amp;#REF!&amp;#REF!&amp;#REF!&amp;#REF!&amp;#REF!&amp;#REF!&amp;#REF!&amp;AD127&amp;AE127&amp;AF127&amp;AG127&amp;AH127&amp;AI127&amp;AJ127&amp;AK127&amp;AL127&amp;AM127))&gt;0,1,0)</f>
        <v>#REF!</v>
      </c>
    </row>
    <row r="128" spans="1:40" s="197" customFormat="1" ht="12.75">
      <c r="A128" s="333"/>
      <c r="B128" s="228"/>
      <c r="C128" s="246"/>
      <c r="D128" s="246"/>
      <c r="E128" s="246"/>
      <c r="F128" s="246"/>
      <c r="G128" s="335"/>
      <c r="H128" s="246"/>
      <c r="I128" s="329"/>
      <c r="J128" s="246"/>
      <c r="K128" s="246"/>
      <c r="L128" s="246"/>
      <c r="M128" s="246"/>
      <c r="N128" s="246"/>
      <c r="O128" s="335"/>
      <c r="AN128" s="168"/>
    </row>
    <row r="129" spans="1:40" s="197" customFormat="1" ht="12.75">
      <c r="A129" s="333">
        <v>80</v>
      </c>
      <c r="B129" s="336" t="s">
        <v>290</v>
      </c>
      <c r="C129" s="335"/>
      <c r="D129" s="335"/>
      <c r="E129" s="335"/>
      <c r="F129" s="335"/>
      <c r="G129" s="248">
        <f>SUM(G114:G117)+SUM(G119:G123)+SUM(G127)</f>
        <v>17224378.22</v>
      </c>
      <c r="H129" s="248">
        <f>SUM(H114:H117)+SUM(H119:H123)+SUM(H127)</f>
        <v>2984000.97</v>
      </c>
      <c r="I129" s="248">
        <f>SUM(G129)-SUM(H129)</f>
        <v>14240377.249999998</v>
      </c>
      <c r="J129" s="246"/>
      <c r="K129" s="248">
        <f>SUM(K114:K117)+SUM(K119:K123)+SUM(K127)</f>
        <v>0</v>
      </c>
      <c r="L129" s="248">
        <f>SUM(L114:L117)+SUM(L119:L123)+SUM(L127)</f>
        <v>1119843.2</v>
      </c>
      <c r="M129" s="248">
        <f>SUM(M114:M117)+SUM(M119:M123)+SUM(M127)</f>
        <v>0</v>
      </c>
      <c r="N129" s="248">
        <f>SUM(N114:N117)+SUM(N119:N123)+SUM(N127)</f>
        <v>1684422</v>
      </c>
      <c r="O129" s="248">
        <f>SUM(I129)-SUM(K129,L129,M129,N129)</f>
        <v>11436112.049999997</v>
      </c>
      <c r="AD129" s="310"/>
      <c r="AE129" s="310"/>
      <c r="AN129" s="168"/>
    </row>
    <row r="130" spans="1:40" s="197" customFormat="1" ht="12.75">
      <c r="A130" s="333"/>
      <c r="B130" s="228"/>
      <c r="C130" s="246"/>
      <c r="D130" s="246"/>
      <c r="E130" s="246"/>
      <c r="F130" s="246"/>
      <c r="G130" s="335"/>
      <c r="H130" s="246"/>
      <c r="I130" s="329"/>
      <c r="J130" s="246"/>
      <c r="K130" s="246"/>
      <c r="L130" s="246"/>
      <c r="M130" s="246"/>
      <c r="N130" s="246"/>
      <c r="O130" s="335"/>
      <c r="AN130" s="168"/>
    </row>
    <row r="131" spans="1:40" s="197" customFormat="1" ht="12.75">
      <c r="A131" s="337">
        <v>81</v>
      </c>
      <c r="B131" s="264" t="s">
        <v>291</v>
      </c>
      <c r="C131" s="335"/>
      <c r="D131" s="335"/>
      <c r="E131" s="335"/>
      <c r="F131" s="335"/>
      <c r="G131" s="248">
        <f>SUM(G85)+SUM(G111)+SUM(G129)</f>
        <v>215005864.23</v>
      </c>
      <c r="H131" s="248">
        <f>SUM(H111)+SUM(H129)</f>
        <v>12539335.82</v>
      </c>
      <c r="I131" s="248">
        <f>SUM(G131)-SUM(H131)</f>
        <v>202466528.41</v>
      </c>
      <c r="J131" s="246"/>
      <c r="K131" s="248">
        <f>SUM(K111)+SUM(K129)</f>
        <v>7951905</v>
      </c>
      <c r="L131" s="248">
        <f>SUM(L111)+SUM(L129)</f>
        <v>14372990.869999997</v>
      </c>
      <c r="M131" s="248">
        <f>SUM(M111)+SUM(M129)</f>
        <v>0</v>
      </c>
      <c r="N131" s="248">
        <f>SUM(N111)+SUM(N129)</f>
        <v>18823891</v>
      </c>
      <c r="O131" s="248">
        <f>SUM(I131)-SUM(K131,L131,M131,N131)</f>
        <v>161317741.54</v>
      </c>
      <c r="AD131" s="310"/>
      <c r="AE131" s="310"/>
      <c r="AN131" s="168"/>
    </row>
    <row r="132" spans="1:40" s="197" customFormat="1" ht="12.75">
      <c r="A132" s="229"/>
      <c r="B132" s="229"/>
      <c r="AN132" s="168"/>
    </row>
    <row r="133" spans="1:40" s="197" customFormat="1" ht="12.75">
      <c r="A133" s="304" t="s">
        <v>292</v>
      </c>
      <c r="B133" s="304"/>
      <c r="C133" s="246"/>
      <c r="D133" s="246"/>
      <c r="E133" s="246"/>
      <c r="F133" s="246"/>
      <c r="G133" s="335"/>
      <c r="H133" s="246"/>
      <c r="I133" s="329"/>
      <c r="J133" s="246"/>
      <c r="K133" s="246"/>
      <c r="L133" s="246"/>
      <c r="M133" s="246"/>
      <c r="N133" s="246"/>
      <c r="O133" s="330"/>
      <c r="P133" s="246"/>
      <c r="Q133" s="246"/>
      <c r="R133" s="246"/>
      <c r="AN133" s="168"/>
    </row>
    <row r="134" spans="1:40" s="197" customFormat="1" ht="12.75">
      <c r="A134" s="338"/>
      <c r="B134" s="229"/>
      <c r="C134" s="246"/>
      <c r="D134" s="246"/>
      <c r="E134" s="246"/>
      <c r="F134" s="246"/>
      <c r="G134" s="335"/>
      <c r="H134" s="246"/>
      <c r="I134" s="329"/>
      <c r="J134" s="246"/>
      <c r="K134" s="246"/>
      <c r="L134" s="246"/>
      <c r="M134" s="246"/>
      <c r="N134" s="246"/>
      <c r="O134" s="330"/>
      <c r="P134" s="246"/>
      <c r="Q134" s="246"/>
      <c r="R134" s="246"/>
      <c r="AN134" s="168"/>
    </row>
    <row r="135" spans="1:40" s="197" customFormat="1" ht="12.75">
      <c r="A135" s="214" t="s">
        <v>293</v>
      </c>
      <c r="B135" s="214"/>
      <c r="C135" s="246"/>
      <c r="D135" s="246"/>
      <c r="E135" s="246"/>
      <c r="F135" s="246"/>
      <c r="G135" s="335"/>
      <c r="H135" s="246"/>
      <c r="I135" s="329"/>
      <c r="J135" s="246"/>
      <c r="K135" s="246"/>
      <c r="L135" s="246"/>
      <c r="M135" s="246"/>
      <c r="N135" s="246"/>
      <c r="O135" s="330"/>
      <c r="P135" s="246"/>
      <c r="Q135" s="246"/>
      <c r="R135" s="246"/>
      <c r="AN135" s="168"/>
    </row>
    <row r="136" spans="1:40" s="197" customFormat="1" ht="12.75">
      <c r="A136" s="338"/>
      <c r="B136" s="339" t="s">
        <v>70</v>
      </c>
      <c r="C136" s="246"/>
      <c r="D136" s="246"/>
      <c r="E136" s="246"/>
      <c r="F136" s="246"/>
      <c r="G136" s="335"/>
      <c r="H136" s="246"/>
      <c r="I136" s="329"/>
      <c r="J136" s="246"/>
      <c r="K136" s="246"/>
      <c r="L136" s="246"/>
      <c r="M136" s="246"/>
      <c r="N136" s="246"/>
      <c r="O136" s="330"/>
      <c r="P136" s="246"/>
      <c r="Q136" s="246"/>
      <c r="R136" s="246"/>
      <c r="AN136" s="168"/>
    </row>
    <row r="137" spans="1:40" s="197" customFormat="1" ht="12.75">
      <c r="A137" s="228">
        <v>82</v>
      </c>
      <c r="B137" s="229" t="s">
        <v>70</v>
      </c>
      <c r="C137" s="247">
        <v>0</v>
      </c>
      <c r="D137" s="247">
        <v>0</v>
      </c>
      <c r="E137" s="247">
        <v>1430126.31</v>
      </c>
      <c r="F137" s="247">
        <v>3543950.72</v>
      </c>
      <c r="G137" s="248">
        <f>SUM(C137:F137)</f>
        <v>4974077.03</v>
      </c>
      <c r="H137" s="247">
        <v>1004012.36</v>
      </c>
      <c r="I137" s="248">
        <f>SUM(G137)-SUM(H137)</f>
        <v>3970064.6700000004</v>
      </c>
      <c r="J137" s="308"/>
      <c r="K137" s="247">
        <v>0</v>
      </c>
      <c r="L137" s="247">
        <v>115400</v>
      </c>
      <c r="M137" s="247">
        <v>0</v>
      </c>
      <c r="N137" s="247">
        <v>0</v>
      </c>
      <c r="O137" s="248">
        <f>SUM(I137)-SUM(K137,L137,M137,N137)</f>
        <v>3854664.6700000004</v>
      </c>
      <c r="P137" s="308"/>
      <c r="Q137" s="265"/>
      <c r="R137" s="265"/>
      <c r="Y137" s="253">
        <v>1594373</v>
      </c>
      <c r="Z137" s="320">
        <v>-0.5</v>
      </c>
      <c r="AA137" s="320">
        <v>0.5</v>
      </c>
      <c r="AB137" s="253">
        <v>1000000</v>
      </c>
      <c r="AD137" s="40" t="e">
        <f>IF(AND(N137="",#REF!&lt;&gt;"*"),"",IF(AND(N137="",#REF!="*"),"Error 1.1",IF(ISNUMBER(N137)=FALSE,"Error 1.2",IF(N137&lt;0,"Error 1.3",""))))</f>
        <v>#REF!</v>
      </c>
      <c r="AE137" s="310"/>
      <c r="AN137" s="29" t="e">
        <f>IF(LEN(TRIM(#REF!&amp;#REF!&amp;#REF!&amp;#REF!&amp;#REF!&amp;#REF!&amp;#REF!&amp;#REF!&amp;#REF!&amp;#REF!&amp;#REF!&amp;AD137&amp;AE137&amp;AF137&amp;AG137&amp;AH137&amp;AI137&amp;AJ137&amp;AK137&amp;AL137&amp;AM137))&gt;0,1,0)</f>
        <v>#REF!</v>
      </c>
    </row>
    <row r="138" spans="1:40" s="197" customFormat="1" ht="12.75">
      <c r="A138" s="228">
        <v>83</v>
      </c>
      <c r="B138" s="229" t="s">
        <v>294</v>
      </c>
      <c r="C138" s="247">
        <v>300</v>
      </c>
      <c r="D138" s="247">
        <v>0</v>
      </c>
      <c r="E138" s="247">
        <v>50551.84</v>
      </c>
      <c r="F138" s="247">
        <f>22594.59+8827</f>
        <v>31421.59</v>
      </c>
      <c r="G138" s="248">
        <f>SUM(C138:F138)</f>
        <v>82273.43</v>
      </c>
      <c r="H138" s="247">
        <v>0</v>
      </c>
      <c r="I138" s="248">
        <f>SUM(G138)-SUM(H138)</f>
        <v>82273.43</v>
      </c>
      <c r="J138" s="308"/>
      <c r="K138" s="247">
        <v>0</v>
      </c>
      <c r="L138" s="247">
        <v>82273</v>
      </c>
      <c r="M138" s="247">
        <v>0</v>
      </c>
      <c r="N138" s="247">
        <v>0</v>
      </c>
      <c r="O138" s="248">
        <f>SUM(I138)-SUM(K138,L138,M138,N138)</f>
        <v>0.4299999999930151</v>
      </c>
      <c r="P138" s="308"/>
      <c r="Q138" s="247">
        <v>0</v>
      </c>
      <c r="R138" s="247">
        <v>0</v>
      </c>
      <c r="Y138" s="253">
        <v>897798</v>
      </c>
      <c r="Z138" s="320">
        <v>-0.3</v>
      </c>
      <c r="AA138" s="320">
        <v>0.3</v>
      </c>
      <c r="AB138" s="253">
        <v>250000</v>
      </c>
      <c r="AD138" s="40" t="e">
        <f>IF(AND(N138="",#REF!&lt;&gt;"*"),"",IF(AND(N138="",#REF!="*"),"Error 1.1",IF(ISNUMBER(N138)=FALSE,"Error 1.2",IF(N138&lt;0,"Error 1.3",""))))</f>
        <v>#REF!</v>
      </c>
      <c r="AE138" s="310"/>
      <c r="AG138" s="40" t="e">
        <f>IF(AND(Q138="",#REF!&lt;&gt;"*"),"",IF(AND(Q138="",#REF!="*"),"Error 1.1",IF(ISNUMBER(Q138)=FALSE,"Error 1.2",IF(Q138&lt;0,"Error 1.3",""))))</f>
        <v>#REF!</v>
      </c>
      <c r="AH138" s="40" t="e">
        <f>IF(AND(R138="",#REF!&lt;&gt;"*"),"",IF(AND(R138="",#REF!="*"),"Error 1.1",IF(ISNUMBER(R138)=FALSE,"Error 1.2",IF(R138&lt;0,"Error 1.3",""))))</f>
        <v>#REF!</v>
      </c>
      <c r="AN138" s="29" t="e">
        <f>IF(LEN(TRIM(#REF!&amp;#REF!&amp;#REF!&amp;#REF!&amp;#REF!&amp;#REF!&amp;#REF!&amp;#REF!&amp;#REF!&amp;#REF!&amp;#REF!&amp;AD138&amp;AE138&amp;AF138&amp;AG138&amp;AH138&amp;AI138&amp;AJ138&amp;AK138&amp;AL138&amp;AM138))&gt;0,1,0)</f>
        <v>#REF!</v>
      </c>
    </row>
    <row r="139" spans="1:40" s="197" customFormat="1" ht="12.75">
      <c r="A139" s="228">
        <v>84</v>
      </c>
      <c r="B139" s="229" t="s">
        <v>295</v>
      </c>
      <c r="C139" s="247">
        <v>77145.07</v>
      </c>
      <c r="D139" s="247">
        <v>0</v>
      </c>
      <c r="E139" s="247">
        <v>1863</v>
      </c>
      <c r="F139" s="247">
        <v>4842.5</v>
      </c>
      <c r="G139" s="248">
        <f>SUM(C139:F139)</f>
        <v>83850.57</v>
      </c>
      <c r="H139" s="247">
        <v>60070</v>
      </c>
      <c r="I139" s="248">
        <f>SUM(G139)-SUM(H139)</f>
        <v>23780.570000000007</v>
      </c>
      <c r="J139" s="308"/>
      <c r="K139" s="247">
        <v>0</v>
      </c>
      <c r="L139" s="247">
        <v>23781</v>
      </c>
      <c r="M139" s="247">
        <v>0</v>
      </c>
      <c r="N139" s="247">
        <v>0</v>
      </c>
      <c r="O139" s="248">
        <f>SUM(I139)-SUM(K139,L139,M139,N139)</f>
        <v>-0.4299999999930151</v>
      </c>
      <c r="P139" s="246"/>
      <c r="Q139" s="318"/>
      <c r="R139" s="318"/>
      <c r="Y139" s="253">
        <v>0</v>
      </c>
      <c r="Z139" s="320">
        <v>-0.05</v>
      </c>
      <c r="AA139" s="320">
        <v>0.2</v>
      </c>
      <c r="AB139" s="253">
        <v>250000</v>
      </c>
      <c r="AD139" s="40" t="e">
        <f>IF(AND(N139="",#REF!&lt;&gt;"*"),"",IF(AND(N139="",#REF!="*"),"Error 1.1",IF(ISNUMBER(N139)=FALSE,"Error 1.2",IF(N139&lt;0,"Error 1.3",""))))</f>
        <v>#REF!</v>
      </c>
      <c r="AE139" s="310"/>
      <c r="AN139" s="29" t="e">
        <f>IF(LEN(TRIM(#REF!&amp;#REF!&amp;#REF!&amp;#REF!&amp;#REF!&amp;#REF!&amp;#REF!&amp;#REF!&amp;#REF!&amp;#REF!&amp;#REF!&amp;AD139&amp;AE139&amp;AF139&amp;AG139&amp;AH139&amp;AI139&amp;AJ139&amp;AK139&amp;AL139&amp;AM139))&gt;0,1,0)</f>
        <v>#REF!</v>
      </c>
    </row>
    <row r="140" spans="1:40" s="197" customFormat="1" ht="22.5">
      <c r="A140" s="277">
        <v>85</v>
      </c>
      <c r="B140" s="324" t="s">
        <v>80</v>
      </c>
      <c r="C140" s="282">
        <v>0</v>
      </c>
      <c r="D140" s="282">
        <v>0</v>
      </c>
      <c r="E140" s="282">
        <v>982601.03</v>
      </c>
      <c r="F140" s="282">
        <v>0</v>
      </c>
      <c r="G140" s="284">
        <f>SUM(C140:F140)</f>
        <v>982601.03</v>
      </c>
      <c r="H140" s="282">
        <v>0</v>
      </c>
      <c r="I140" s="284">
        <f>SUM(G140)-SUM(H140)</f>
        <v>982601.03</v>
      </c>
      <c r="J140" s="308"/>
      <c r="K140" s="282">
        <v>0</v>
      </c>
      <c r="L140" s="282">
        <v>0</v>
      </c>
      <c r="M140" s="282">
        <v>0</v>
      </c>
      <c r="N140" s="282">
        <v>0</v>
      </c>
      <c r="O140" s="284">
        <f>SUM(I140)-SUM(K140,L140,M140,N140)</f>
        <v>982601.03</v>
      </c>
      <c r="P140" s="308"/>
      <c r="Q140" s="282">
        <v>0</v>
      </c>
      <c r="R140" s="282">
        <v>0</v>
      </c>
      <c r="Y140" s="253">
        <v>1223779</v>
      </c>
      <c r="Z140" s="320">
        <v>-0.3</v>
      </c>
      <c r="AA140" s="320">
        <v>0.3</v>
      </c>
      <c r="AB140" s="253">
        <v>1000000</v>
      </c>
      <c r="AD140" s="156" t="e">
        <f>IF(AND(N140="",#REF!&lt;&gt;"*"),"",IF(AND(N140="",#REF!="*"),"Error 1.1",IF(ISNUMBER(N140)=FALSE,"Error 1.2",IF(N140&lt;0,"Error 1.3",""))))</f>
        <v>#REF!</v>
      </c>
      <c r="AE140" s="310"/>
      <c r="AG140" s="156" t="e">
        <f>IF(AND(Q140="",#REF!&lt;&gt;"*"),"",IF(AND(Q140="",#REF!="*"),"Error 1.1",IF(ISNUMBER(Q140)=FALSE,"Error 1.2",IF(Q140&lt;0,"Error 1.3",""))))</f>
        <v>#REF!</v>
      </c>
      <c r="AH140" s="156" t="e">
        <f>IF(AND(R140="",#REF!&lt;&gt;"*"),"",IF(AND(R140="",#REF!="*"),"Error 1.1",IF(ISNUMBER(R140)=FALSE,"Error 1.2",IF(R140&lt;0,"Error 1.3",""))))</f>
        <v>#REF!</v>
      </c>
      <c r="AN140" s="29" t="e">
        <f>IF(LEN(TRIM(#REF!&amp;#REF!&amp;#REF!&amp;#REF!&amp;#REF!&amp;#REF!&amp;#REF!&amp;#REF!&amp;#REF!&amp;#REF!&amp;#REF!&amp;AD140&amp;AE140&amp;AF140&amp;AG140&amp;AH140&amp;AI140&amp;AJ140&amp;AK140&amp;AL140&amp;AM140))&gt;0,1,0)</f>
        <v>#REF!</v>
      </c>
    </row>
    <row r="141" spans="1:40" s="197" customFormat="1" ht="12.75">
      <c r="A141" s="228">
        <v>86</v>
      </c>
      <c r="B141" s="340" t="s">
        <v>296</v>
      </c>
      <c r="C141" s="248">
        <f>SUM(C137:C140)</f>
        <v>77445.07</v>
      </c>
      <c r="D141" s="248">
        <f>SUM(D137:D140)</f>
        <v>0</v>
      </c>
      <c r="E141" s="248">
        <f>SUM(E137:E140)</f>
        <v>2465142.18</v>
      </c>
      <c r="F141" s="248">
        <f>SUM(F137:F140)</f>
        <v>3580214.81</v>
      </c>
      <c r="G141" s="248">
        <f>SUM(C141:F141)</f>
        <v>6122802.0600000005</v>
      </c>
      <c r="H141" s="248">
        <f>SUM(H137:H140)</f>
        <v>1064082.3599999999</v>
      </c>
      <c r="I141" s="248">
        <f>SUM(G141)-SUM(H141)</f>
        <v>5058719.700000001</v>
      </c>
      <c r="J141" s="308"/>
      <c r="K141" s="248">
        <f>SUM(K137:K140)</f>
        <v>0</v>
      </c>
      <c r="L141" s="248">
        <f>SUM(L137:L140)</f>
        <v>221454</v>
      </c>
      <c r="M141" s="248">
        <f>SUM(M137:M140)</f>
        <v>0</v>
      </c>
      <c r="N141" s="248">
        <f>SUM(N137:N140)</f>
        <v>0</v>
      </c>
      <c r="O141" s="248">
        <f>SUM(I141)-SUM(K141,L141,M141,N141)</f>
        <v>4837265.700000001</v>
      </c>
      <c r="P141" s="246"/>
      <c r="Q141" s="246"/>
      <c r="R141" s="246"/>
      <c r="AD141" s="310"/>
      <c r="AE141" s="310"/>
      <c r="AN141" s="168"/>
    </row>
    <row r="142" spans="1:40" s="197" customFormat="1" ht="12.75">
      <c r="A142" s="228"/>
      <c r="B142" s="340"/>
      <c r="C142" s="249"/>
      <c r="D142" s="249"/>
      <c r="E142" s="249"/>
      <c r="F142" s="249"/>
      <c r="G142" s="249"/>
      <c r="H142" s="249"/>
      <c r="I142" s="249"/>
      <c r="J142" s="246"/>
      <c r="K142" s="249"/>
      <c r="L142" s="249"/>
      <c r="M142" s="249"/>
      <c r="N142" s="249"/>
      <c r="O142" s="249"/>
      <c r="P142" s="246"/>
      <c r="Q142" s="246"/>
      <c r="R142" s="246"/>
      <c r="AD142" s="246"/>
      <c r="AE142" s="246"/>
      <c r="AN142" s="168"/>
    </row>
    <row r="143" spans="1:40" s="197" customFormat="1" ht="12.75">
      <c r="A143" s="228"/>
      <c r="B143" s="285" t="s">
        <v>83</v>
      </c>
      <c r="C143" s="246"/>
      <c r="D143" s="246"/>
      <c r="E143" s="246"/>
      <c r="F143" s="246"/>
      <c r="G143" s="335"/>
      <c r="H143" s="246"/>
      <c r="I143" s="329"/>
      <c r="J143" s="246"/>
      <c r="K143" s="246"/>
      <c r="L143" s="246"/>
      <c r="M143" s="246"/>
      <c r="N143" s="246"/>
      <c r="O143" s="330"/>
      <c r="P143" s="246"/>
      <c r="Q143" s="246"/>
      <c r="R143" s="246"/>
      <c r="AN143" s="168"/>
    </row>
    <row r="144" spans="1:40" s="197" customFormat="1" ht="12.75" hidden="1">
      <c r="A144" s="228"/>
      <c r="B144" s="285"/>
      <c r="C144" s="246"/>
      <c r="D144" s="246"/>
      <c r="E144" s="246"/>
      <c r="F144" s="246"/>
      <c r="G144" s="335"/>
      <c r="H144" s="246"/>
      <c r="I144" s="329"/>
      <c r="J144" s="246"/>
      <c r="K144" s="246"/>
      <c r="L144" s="246"/>
      <c r="M144" s="246"/>
      <c r="N144" s="246"/>
      <c r="O144" s="330"/>
      <c r="P144" s="246"/>
      <c r="Q144" s="246"/>
      <c r="R144" s="246"/>
      <c r="AN144" s="168"/>
    </row>
    <row r="145" spans="1:40" s="197" customFormat="1" ht="12.75">
      <c r="A145" s="228">
        <v>87</v>
      </c>
      <c r="B145" s="229" t="s">
        <v>88</v>
      </c>
      <c r="C145" s="247">
        <v>961749.15</v>
      </c>
      <c r="D145" s="247">
        <v>0</v>
      </c>
      <c r="E145" s="247">
        <v>94291.29</v>
      </c>
      <c r="F145" s="247">
        <v>197502.33</v>
      </c>
      <c r="G145" s="248">
        <f aca="true" t="shared" si="6" ref="G145:G151">SUM(C145:F145)</f>
        <v>1253542.77</v>
      </c>
      <c r="H145" s="247">
        <v>529201.74</v>
      </c>
      <c r="I145" s="248">
        <f aca="true" t="shared" si="7" ref="I145:I151">SUM(G145)-SUM(H145)</f>
        <v>724341.03</v>
      </c>
      <c r="J145" s="308"/>
      <c r="K145" s="247">
        <v>0</v>
      </c>
      <c r="L145" s="247">
        <v>224898</v>
      </c>
      <c r="M145" s="247">
        <v>0</v>
      </c>
      <c r="N145" s="247">
        <v>0</v>
      </c>
      <c r="O145" s="248">
        <f aca="true" t="shared" si="8" ref="O145:O151">SUM(I145)-SUM(K145,L145,M145,N145)</f>
        <v>499443.03</v>
      </c>
      <c r="P145" s="246"/>
      <c r="Q145" s="246"/>
      <c r="R145" s="246"/>
      <c r="AD145" s="40" t="e">
        <f>IF(AND(N145="",#REF!&lt;&gt;"*"),"",IF(AND(N145="",#REF!="*"),"Error 1.1",IF(ISNUMBER(N145)=FALSE,"Error 1.2",IF(N145&lt;0,"Error 1.3",""))))</f>
        <v>#REF!</v>
      </c>
      <c r="AE145" s="310"/>
      <c r="AN145" s="29" t="e">
        <f>IF(LEN(TRIM(#REF!&amp;#REF!&amp;#REF!&amp;#REF!&amp;#REF!&amp;#REF!&amp;#REF!&amp;#REF!&amp;#REF!&amp;#REF!&amp;#REF!&amp;AD145&amp;AE145&amp;AF145&amp;AG145&amp;AH145&amp;AI145&amp;AJ145&amp;AK145&amp;AL145&amp;AM145))&gt;0,1,0)</f>
        <v>#REF!</v>
      </c>
    </row>
    <row r="146" spans="1:40" s="197" customFormat="1" ht="22.5">
      <c r="A146" s="277">
        <v>88</v>
      </c>
      <c r="B146" s="324" t="s">
        <v>297</v>
      </c>
      <c r="C146" s="282">
        <v>436481.59</v>
      </c>
      <c r="D146" s="282">
        <v>41507.25</v>
      </c>
      <c r="E146" s="282">
        <v>6321196.89</v>
      </c>
      <c r="F146" s="282">
        <v>9320885.690000003</v>
      </c>
      <c r="G146" s="284">
        <f t="shared" si="6"/>
        <v>16120071.420000002</v>
      </c>
      <c r="H146" s="282">
        <v>4441733.62</v>
      </c>
      <c r="I146" s="284">
        <f t="shared" si="7"/>
        <v>11678337.8</v>
      </c>
      <c r="J146" s="341"/>
      <c r="K146" s="282">
        <v>0</v>
      </c>
      <c r="L146" s="282">
        <v>8481052</v>
      </c>
      <c r="M146" s="282">
        <v>0</v>
      </c>
      <c r="N146" s="282">
        <v>0</v>
      </c>
      <c r="O146" s="284">
        <f t="shared" si="8"/>
        <v>3197285.8000000007</v>
      </c>
      <c r="P146" s="341"/>
      <c r="Q146" s="282">
        <f>8454+136323+278</f>
        <v>145055</v>
      </c>
      <c r="R146" s="282">
        <v>0</v>
      </c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D146" s="156" t="e">
        <f>IF(AND(N146="",#REF!&lt;&gt;"*"),"",IF(AND(N146="",#REF!="*"),"Error 1.1",IF(ISNUMBER(N146)=FALSE,"Error 1.2",IF(N146&lt;0,"Error 1.3",""))))</f>
        <v>#REF!</v>
      </c>
      <c r="AE146" s="310"/>
      <c r="AG146" s="156" t="e">
        <f>IF(AND(Q146="",#REF!&lt;&gt;"*"),"",IF(AND(Q146="",#REF!="*"),"Error 1.1",IF(ISNUMBER(Q146)=FALSE,"Error 1.2",IF(Q146&lt;0,"Error 1.3",""))))</f>
        <v>#REF!</v>
      </c>
      <c r="AH146" s="156" t="e">
        <f>IF(AND(R146="",#REF!&lt;&gt;"*"),"",IF(AND(R146="",#REF!="*"),"Error 1.1",IF(ISNUMBER(R146)=FALSE,"Error 1.2",IF(R146&lt;0,"Error 1.3",""))))</f>
        <v>#REF!</v>
      </c>
      <c r="AN146" s="29" t="e">
        <f>IF(LEN(TRIM(#REF!&amp;#REF!&amp;#REF!&amp;#REF!&amp;#REF!&amp;#REF!&amp;#REF!&amp;#REF!&amp;#REF!&amp;#REF!&amp;#REF!&amp;AD146&amp;AE146&amp;AF146&amp;AG146&amp;AH146&amp;AI146&amp;AJ146&amp;AK146&amp;AL146&amp;AM146))&gt;0,1,0)</f>
        <v>#REF!</v>
      </c>
    </row>
    <row r="147" spans="1:40" s="197" customFormat="1" ht="12.75">
      <c r="A147" s="228">
        <v>89</v>
      </c>
      <c r="B147" s="229" t="s">
        <v>298</v>
      </c>
      <c r="C147" s="247">
        <v>0</v>
      </c>
      <c r="D147" s="247">
        <v>0</v>
      </c>
      <c r="E147" s="247">
        <v>793797.78</v>
      </c>
      <c r="F147" s="247">
        <v>3067380.2</v>
      </c>
      <c r="G147" s="248">
        <f t="shared" si="6"/>
        <v>3861177.9800000004</v>
      </c>
      <c r="H147" s="247">
        <v>36512.03</v>
      </c>
      <c r="I147" s="248">
        <f t="shared" si="7"/>
        <v>3824665.9500000007</v>
      </c>
      <c r="J147" s="308"/>
      <c r="K147" s="247">
        <v>0</v>
      </c>
      <c r="L147" s="247">
        <v>0</v>
      </c>
      <c r="M147" s="247">
        <v>0</v>
      </c>
      <c r="N147" s="247">
        <v>0</v>
      </c>
      <c r="O147" s="248">
        <f t="shared" si="8"/>
        <v>3824665.9500000007</v>
      </c>
      <c r="P147" s="308"/>
      <c r="Q147" s="318"/>
      <c r="R147" s="318"/>
      <c r="T147" s="247">
        <v>5451.753690597189</v>
      </c>
      <c r="U147" s="247">
        <v>2153774.553662709</v>
      </c>
      <c r="V147" s="247">
        <v>1620924.8885991226</v>
      </c>
      <c r="W147" s="247">
        <v>44514.75404757184</v>
      </c>
      <c r="AD147" s="40" t="e">
        <f>IF(AND(N147="",#REF!&lt;&gt;"*"),"",IF(AND(N147="",#REF!="*"),"Error 1.1",IF(ISNUMBER(N147)=FALSE,"Error 1.2",IF(N147&lt;0,"Error 1.3",""))))</f>
        <v>#REF!</v>
      </c>
      <c r="AE147" s="310"/>
      <c r="AJ147" s="40" t="e">
        <f>IF(AND(T147="",#REF!&lt;&gt;"*"),"",IF(AND(T147="",#REF!="*"),"Error 1.1",IF(ISNUMBER(T147)=FALSE,"Error 1.2",IF(T147&lt;0,"Error 1.3",IF(ABS(SUM(I147)-SUM(T147:W147))&gt;1000,"Error 3.1.1","")))))</f>
        <v>#REF!</v>
      </c>
      <c r="AK147" s="40" t="e">
        <f>IF(AND(U147="",#REF!&lt;&gt;"*"),"",IF(AND(U147="",#REF!="*"),"Error 1.1",IF(ISNUMBER(U147)=FALSE,"Error 1.2",IF(U147&lt;0,"Error 1.3",IF(ABS(SUM(I147)-SUM(T147:W147))&gt;1000,"Error 3.1.1","")))))</f>
        <v>#REF!</v>
      </c>
      <c r="AL147" s="40" t="e">
        <f>IF(AND(V147="",#REF!&lt;&gt;"*"),"",IF(AND(V147="",#REF!="*"),"Error 1.1",IF(ISNUMBER(V147)=FALSE,"Error 1.2",IF(V147&lt;0,"Error 1.3",IF(ABS(SUM(I147)-SUM(T147:W147))&gt;1000,"Error 3.1.1","")))))</f>
        <v>#REF!</v>
      </c>
      <c r="AM147" s="40" t="e">
        <f>IF(AND(W147="",#REF!&lt;&gt;"*"),"",IF(AND(W147="",#REF!="*"),"Error 1.1",IF(ISNUMBER(W147)=FALSE,"Error 1.2",IF(W147&lt;0,"Error 1.3",IF(ABS(SUM(I147)-SUM(T147:W147))&gt;1000,"Error 3.1.1","")))))</f>
        <v>#REF!</v>
      </c>
      <c r="AN147" s="29" t="e">
        <f>IF(LEN(TRIM(#REF!&amp;#REF!&amp;#REF!&amp;#REF!&amp;#REF!&amp;#REF!&amp;#REF!&amp;#REF!&amp;#REF!&amp;#REF!&amp;#REF!&amp;AD147&amp;AE147&amp;AF147&amp;AG147&amp;AH147&amp;AI147&amp;AJ147&amp;AK147&amp;AL147&amp;AM147))&gt;0,1,0)</f>
        <v>#REF!</v>
      </c>
    </row>
    <row r="148" spans="1:40" s="197" customFormat="1" ht="22.5">
      <c r="A148" s="277">
        <v>90</v>
      </c>
      <c r="B148" s="324" t="s">
        <v>299</v>
      </c>
      <c r="C148" s="282">
        <v>0</v>
      </c>
      <c r="D148" s="282">
        <v>0</v>
      </c>
      <c r="E148" s="282">
        <v>79176.9</v>
      </c>
      <c r="F148" s="282">
        <v>168526.69</v>
      </c>
      <c r="G148" s="284">
        <f t="shared" si="6"/>
        <v>247703.59</v>
      </c>
      <c r="H148" s="282">
        <v>0</v>
      </c>
      <c r="I148" s="284">
        <f t="shared" si="7"/>
        <v>247703.59</v>
      </c>
      <c r="J148" s="308"/>
      <c r="K148" s="282">
        <v>0</v>
      </c>
      <c r="L148" s="282">
        <v>96666</v>
      </c>
      <c r="M148" s="282">
        <v>0</v>
      </c>
      <c r="N148" s="282">
        <v>0</v>
      </c>
      <c r="O148" s="284">
        <f t="shared" si="8"/>
        <v>151037.59</v>
      </c>
      <c r="P148" s="308"/>
      <c r="Q148" s="246"/>
      <c r="R148" s="246"/>
      <c r="T148" s="282">
        <v>353.0815445350653</v>
      </c>
      <c r="U148" s="282">
        <v>139488.70201145293</v>
      </c>
      <c r="V148" s="282">
        <v>104978.81887602567</v>
      </c>
      <c r="W148" s="282">
        <v>2882.987567986316</v>
      </c>
      <c r="AD148" s="156" t="e">
        <f>IF(AND(N148="",#REF!&lt;&gt;"*"),"",IF(AND(N148="",#REF!="*"),"Error 1.1",IF(ISNUMBER(N148)=FALSE,"Error 1.2",IF(N148&lt;0,"Error 1.3",""))))</f>
        <v>#REF!</v>
      </c>
      <c r="AE148" s="310"/>
      <c r="AJ148" s="156" t="e">
        <f>IF(AND(T148="",#REF!&lt;&gt;"*"),"",IF(AND(T148="",#REF!="*"),"Error 1.1",IF(ISNUMBER(T148)=FALSE,"Error 1.2",IF(T148&lt;0,"Error 1.3",IF(ABS(SUM(I148)-SUM(T148:W148))&gt;1000,"Error 3.1.2","")))))</f>
        <v>#REF!</v>
      </c>
      <c r="AK148" s="156" t="e">
        <f>IF(AND(U148="",#REF!&lt;&gt;"*"),"",IF(AND(U148="",#REF!="*"),"Error 1.1",IF(ISNUMBER(U148)=FALSE,"Error 1.2",IF(U148&lt;0,"Error 1.3",IF(ABS(SUM(I148)-SUM(T148:W148))&gt;1000,"Error 3.1.2","")))))</f>
        <v>#REF!</v>
      </c>
      <c r="AL148" s="156" t="e">
        <f>IF(AND(V148="",#REF!&lt;&gt;"*"),"",IF(AND(V148="",#REF!="*"),"Error 1.1",IF(ISNUMBER(V148)=FALSE,"Error 1.2",IF(V148&lt;0,"Error 1.3",IF(ABS(SUM(I148)-SUM(T148:W148))&gt;1000,"Error 3.1.2","")))))</f>
        <v>#REF!</v>
      </c>
      <c r="AM148" s="156" t="e">
        <f>IF(AND(W148="",#REF!&lt;&gt;"*"),"",IF(AND(W148="",#REF!="*"),"Error 1.1",IF(ISNUMBER(W148)=FALSE,"Error 1.2",IF(W148&lt;0,"Error 1.3",IF(ABS(SUM(I148)-SUM(T148:W148))&gt;1000,"Error 3.1.2","")))))</f>
        <v>#REF!</v>
      </c>
      <c r="AN148" s="29" t="e">
        <f>IF(LEN(TRIM(#REF!&amp;#REF!&amp;#REF!&amp;#REF!&amp;#REF!&amp;#REF!&amp;#REF!&amp;#REF!&amp;#REF!&amp;#REF!&amp;#REF!&amp;AD148&amp;AE148&amp;AF148&amp;AG148&amp;AH148&amp;AI148&amp;AJ148&amp;AK148&amp;AL148&amp;AM148))&gt;0,1,0)</f>
        <v>#REF!</v>
      </c>
    </row>
    <row r="149" spans="1:40" s="197" customFormat="1" ht="12.75">
      <c r="A149" s="228">
        <v>91</v>
      </c>
      <c r="B149" s="229" t="s">
        <v>300</v>
      </c>
      <c r="C149" s="247">
        <v>0</v>
      </c>
      <c r="D149" s="247">
        <v>0</v>
      </c>
      <c r="E149" s="247">
        <v>0</v>
      </c>
      <c r="F149" s="247">
        <v>0</v>
      </c>
      <c r="G149" s="248">
        <f t="shared" si="6"/>
        <v>0</v>
      </c>
      <c r="H149" s="247">
        <v>0</v>
      </c>
      <c r="I149" s="248">
        <f t="shared" si="7"/>
        <v>0</v>
      </c>
      <c r="J149" s="308"/>
      <c r="K149" s="247">
        <v>0</v>
      </c>
      <c r="L149" s="247">
        <v>0</v>
      </c>
      <c r="M149" s="247">
        <v>0</v>
      </c>
      <c r="N149" s="247">
        <v>0</v>
      </c>
      <c r="O149" s="248">
        <f t="shared" si="8"/>
        <v>0</v>
      </c>
      <c r="P149" s="308"/>
      <c r="Q149" s="246"/>
      <c r="R149" s="246"/>
      <c r="T149" s="247">
        <v>0</v>
      </c>
      <c r="U149" s="247">
        <v>0</v>
      </c>
      <c r="V149" s="247">
        <v>0</v>
      </c>
      <c r="W149" s="247">
        <v>0</v>
      </c>
      <c r="AD149" s="40" t="e">
        <f>IF(AND(N149="",#REF!&lt;&gt;"*"),"",IF(AND(N149="",#REF!="*"),"Error 1.1",IF(ISNUMBER(N149)=FALSE,"Error 1.2",IF(N149&lt;0,"Error 1.3",""))))</f>
        <v>#REF!</v>
      </c>
      <c r="AE149" s="310"/>
      <c r="AJ149" s="40" t="e">
        <f>IF(AND(T149="",#REF!&lt;&gt;"*"),"",IF(AND(T149="",#REF!="*"),"Error 1.1",IF(ISNUMBER(T149)=FALSE,"Error 1.2",IF(T149&lt;0,"Error 1.3",IF(ABS(SUM(I149)-SUM(T149:W149))&gt;1000,"Error 3.1.3","")))))</f>
        <v>#REF!</v>
      </c>
      <c r="AK149" s="40" t="e">
        <f>IF(AND(U149="",#REF!&lt;&gt;"*"),"",IF(AND(U149="",#REF!="*"),"Error 1.1",IF(ISNUMBER(U149)=FALSE,"Error 1.2",IF(U149&lt;0,"Error 1.3",IF(ABS(SUM(I149)-SUM(T149:W149))&gt;1000,"Error 3.1.3","")))))</f>
        <v>#REF!</v>
      </c>
      <c r="AL149" s="40" t="e">
        <f>IF(AND(V149="",#REF!&lt;&gt;"*"),"",IF(AND(V149="",#REF!="*"),"Error 1.1",IF(ISNUMBER(V149)=FALSE,"Error 1.2",IF(V149&lt;0,"Error 1.3",IF(ABS(SUM(I149)-SUM(T149:W149))&gt;1000,"Error 3.1.3","")))))</f>
        <v>#REF!</v>
      </c>
      <c r="AM149" s="40" t="e">
        <f>IF(AND(W149="",#REF!&lt;&gt;"*"),"",IF(AND(W149="",#REF!="*"),"Error 1.1",IF(ISNUMBER(W149)=FALSE,"Error 1.2",IF(W149&lt;0,"Error 1.3",IF(ABS(SUM(I149)-SUM(T149:W149))&gt;1000,"Error 3.1.3","")))))</f>
        <v>#REF!</v>
      </c>
      <c r="AN149" s="29" t="e">
        <f>IF(LEN(TRIM(#REF!&amp;#REF!&amp;#REF!&amp;#REF!&amp;#REF!&amp;#REF!&amp;#REF!&amp;#REF!&amp;#REF!&amp;#REF!&amp;#REF!&amp;AD149&amp;AE149&amp;AF149&amp;AG149&amp;AH149&amp;AI149&amp;AJ149&amp;AK149&amp;AL149&amp;AM149))&gt;0,1,0)</f>
        <v>#REF!</v>
      </c>
    </row>
    <row r="150" spans="1:40" s="197" customFormat="1" ht="22.5">
      <c r="A150" s="277">
        <v>92</v>
      </c>
      <c r="B150" s="324" t="s">
        <v>301</v>
      </c>
      <c r="C150" s="282">
        <v>0</v>
      </c>
      <c r="D150" s="282">
        <v>0</v>
      </c>
      <c r="E150" s="282">
        <v>0</v>
      </c>
      <c r="F150" s="282">
        <v>0</v>
      </c>
      <c r="G150" s="284">
        <f t="shared" si="6"/>
        <v>0</v>
      </c>
      <c r="H150" s="282">
        <v>0</v>
      </c>
      <c r="I150" s="284">
        <f t="shared" si="7"/>
        <v>0</v>
      </c>
      <c r="J150" s="308"/>
      <c r="K150" s="282">
        <v>0</v>
      </c>
      <c r="L150" s="282">
        <v>0</v>
      </c>
      <c r="M150" s="282">
        <v>0</v>
      </c>
      <c r="N150" s="282">
        <v>0</v>
      </c>
      <c r="O150" s="284">
        <f t="shared" si="8"/>
        <v>0</v>
      </c>
      <c r="P150" s="308"/>
      <c r="Q150" s="246"/>
      <c r="R150" s="246"/>
      <c r="T150" s="282">
        <v>0</v>
      </c>
      <c r="U150" s="282">
        <v>0</v>
      </c>
      <c r="V150" s="282">
        <v>0</v>
      </c>
      <c r="W150" s="282">
        <v>0</v>
      </c>
      <c r="AD150" s="156" t="e">
        <f>IF(AND(N150="",#REF!&lt;&gt;"*"),"",IF(AND(N150="",#REF!="*"),"Error 1.1",IF(ISNUMBER(N150)=FALSE,"Error 1.2",IF(N150&lt;0,"Error 1.3",""))))</f>
        <v>#REF!</v>
      </c>
      <c r="AE150" s="310"/>
      <c r="AJ150" s="156" t="e">
        <f>IF(AND(T150="",#REF!&lt;&gt;"*"),"",IF(AND(T150="",#REF!="*"),"Error 1.1",IF(ISNUMBER(T150)=FALSE,"Error 1.2",IF(T150&lt;0,"Error 1.3",IF(ABS(SUM(I150)-SUM(T150:W150))&gt;1000,"Error 3.1.4","")))))</f>
        <v>#REF!</v>
      </c>
      <c r="AK150" s="156" t="e">
        <f>IF(AND(U150="",#REF!&lt;&gt;"*"),"",IF(AND(U150="",#REF!="*"),"Error 1.1",IF(ISNUMBER(U150)=FALSE,"Error 1.2",IF(U150&lt;0,"Error 1.3",IF(ABS(SUM(I150)-SUM(T150:W150))&gt;1000,"Error 3.1.4","")))))</f>
        <v>#REF!</v>
      </c>
      <c r="AL150" s="156" t="e">
        <f>IF(AND(V150="",#REF!&lt;&gt;"*"),"",IF(AND(V150="",#REF!="*"),"Error 1.1",IF(ISNUMBER(V150)=FALSE,"Error 1.2",IF(V150&lt;0,"Error 1.3",IF(ABS(SUM(I150)-SUM(T150:W150))&gt;1000,"Error 3.1.4","")))))</f>
        <v>#REF!</v>
      </c>
      <c r="AM150" s="156" t="e">
        <f>IF(AND(W150="",#REF!&lt;&gt;"*"),"",IF(AND(W150="",#REF!="*"),"Error 1.1",IF(ISNUMBER(W150)=FALSE,"Error 1.2",IF(W150&lt;0,"Error 1.3",IF(ABS(SUM(I150)-SUM(T150:W150))&gt;1000,"Error 3.1.4","")))))</f>
        <v>#REF!</v>
      </c>
      <c r="AN150" s="29" t="e">
        <f>IF(LEN(TRIM(#REF!&amp;#REF!&amp;#REF!&amp;#REF!&amp;#REF!&amp;#REF!&amp;#REF!&amp;#REF!&amp;#REF!&amp;#REF!&amp;#REF!&amp;AD150&amp;AE150&amp;AF150&amp;AG150&amp;AH150&amp;AI150&amp;AJ150&amp;AK150&amp;AL150&amp;AM150))&gt;0,1,0)</f>
        <v>#REF!</v>
      </c>
    </row>
    <row r="151" spans="1:40" s="197" customFormat="1" ht="12.75">
      <c r="A151" s="228">
        <v>93</v>
      </c>
      <c r="B151" s="250" t="s">
        <v>302</v>
      </c>
      <c r="C151" s="248">
        <f>SUM(C145:C150)</f>
        <v>1398230.74</v>
      </c>
      <c r="D151" s="248">
        <f>SUM(D145:D150)</f>
        <v>41507.25</v>
      </c>
      <c r="E151" s="248">
        <f>SUM(E145:E150)</f>
        <v>7288462.86</v>
      </c>
      <c r="F151" s="248">
        <f>SUM(F145:F150)</f>
        <v>12754294.910000002</v>
      </c>
      <c r="G151" s="248">
        <f t="shared" si="6"/>
        <v>21482495.76</v>
      </c>
      <c r="H151" s="248">
        <f>SUM(H145:H150)</f>
        <v>5007447.390000001</v>
      </c>
      <c r="I151" s="248">
        <f t="shared" si="7"/>
        <v>16475048.370000001</v>
      </c>
      <c r="J151" s="308"/>
      <c r="K151" s="248">
        <f>SUM(K145:K150)</f>
        <v>0</v>
      </c>
      <c r="L151" s="248">
        <f>SUM(L145:L150)</f>
        <v>8802616</v>
      </c>
      <c r="M151" s="248">
        <f>SUM(M145:M150)</f>
        <v>0</v>
      </c>
      <c r="N151" s="248">
        <f>SUM(N145:N150)</f>
        <v>0</v>
      </c>
      <c r="O151" s="248">
        <f t="shared" si="8"/>
        <v>7672432.370000001</v>
      </c>
      <c r="P151" s="246"/>
      <c r="Q151" s="246"/>
      <c r="R151" s="246"/>
      <c r="AD151" s="310"/>
      <c r="AE151" s="310"/>
      <c r="AN151" s="168"/>
    </row>
    <row r="152" spans="1:40" s="197" customFormat="1" ht="12.75">
      <c r="A152" s="228"/>
      <c r="B152" s="250"/>
      <c r="C152" s="343"/>
      <c r="D152" s="343"/>
      <c r="E152" s="343"/>
      <c r="F152" s="343"/>
      <c r="G152" s="343"/>
      <c r="H152" s="343"/>
      <c r="I152" s="343"/>
      <c r="J152" s="246"/>
      <c r="K152" s="343"/>
      <c r="L152" s="343"/>
      <c r="M152" s="343"/>
      <c r="N152" s="343"/>
      <c r="O152" s="343"/>
      <c r="P152" s="246"/>
      <c r="Q152" s="246"/>
      <c r="R152" s="246"/>
      <c r="AD152" s="322"/>
      <c r="AE152" s="322"/>
      <c r="AN152" s="168"/>
    </row>
    <row r="153" spans="1:40" s="197" customFormat="1" ht="12.75">
      <c r="A153" s="277">
        <v>94</v>
      </c>
      <c r="B153" s="276" t="s">
        <v>303</v>
      </c>
      <c r="C153" s="284">
        <f>SUM(C141,C151)</f>
        <v>1475675.81</v>
      </c>
      <c r="D153" s="284">
        <f>SUM(D141,D151)</f>
        <v>41507.25</v>
      </c>
      <c r="E153" s="284">
        <f>SUM(E141,E151)</f>
        <v>9753605.040000001</v>
      </c>
      <c r="F153" s="284">
        <f>SUM(F141,F151)</f>
        <v>16334509.720000003</v>
      </c>
      <c r="G153" s="284">
        <f>SUM(C153:F153)</f>
        <v>27605297.820000004</v>
      </c>
      <c r="H153" s="284">
        <f>SUM(H141,H151)</f>
        <v>6071529.75</v>
      </c>
      <c r="I153" s="284">
        <f>SUM(G153)-SUM(H153)</f>
        <v>21533768.070000004</v>
      </c>
      <c r="J153" s="344"/>
      <c r="K153" s="284">
        <f>SUM(K141,K151)</f>
        <v>0</v>
      </c>
      <c r="L153" s="284">
        <f>SUM(L141,L151)</f>
        <v>9024070</v>
      </c>
      <c r="M153" s="284">
        <f>SUM(M141,M151)</f>
        <v>0</v>
      </c>
      <c r="N153" s="284">
        <f>SUM(N141,N151)</f>
        <v>0</v>
      </c>
      <c r="O153" s="248">
        <f>SUM(I153)-SUM(K153,L153,M153,N153)</f>
        <v>12509698.070000004</v>
      </c>
      <c r="P153" s="246"/>
      <c r="Q153" s="246"/>
      <c r="R153" s="246"/>
      <c r="AD153" s="310"/>
      <c r="AE153" s="310"/>
      <c r="AN153" s="168"/>
    </row>
    <row r="154" spans="1:40" s="197" customFormat="1" ht="12.75">
      <c r="A154" s="228"/>
      <c r="B154" s="229"/>
      <c r="C154" s="345"/>
      <c r="D154" s="346"/>
      <c r="E154" s="346"/>
      <c r="F154" s="346"/>
      <c r="G154" s="346"/>
      <c r="H154" s="346"/>
      <c r="I154" s="346"/>
      <c r="J154" s="346"/>
      <c r="K154" s="346"/>
      <c r="L154" s="346"/>
      <c r="M154" s="346"/>
      <c r="N154" s="346"/>
      <c r="O154" s="346"/>
      <c r="P154" s="246"/>
      <c r="Q154" s="246"/>
      <c r="R154" s="246"/>
      <c r="AN154" s="168"/>
    </row>
    <row r="155" spans="1:40" s="197" customFormat="1" ht="12.75">
      <c r="A155" s="262" t="s">
        <v>304</v>
      </c>
      <c r="B155" s="262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AN155" s="168"/>
    </row>
    <row r="156" spans="1:40" s="197" customFormat="1" ht="12.75" hidden="1">
      <c r="A156" s="264"/>
      <c r="B156" s="264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AN156" s="168"/>
    </row>
    <row r="157" spans="1:40" s="197" customFormat="1" ht="12.75">
      <c r="A157" s="228">
        <v>95</v>
      </c>
      <c r="B157" s="229" t="s">
        <v>305</v>
      </c>
      <c r="C157" s="347"/>
      <c r="D157" s="347"/>
      <c r="E157" s="347"/>
      <c r="F157" s="347"/>
      <c r="G157" s="247">
        <v>5863634.63</v>
      </c>
      <c r="H157" s="247">
        <v>399705</v>
      </c>
      <c r="I157" s="248">
        <f>SUM(G157)-SUM(H157)</f>
        <v>5463929.63</v>
      </c>
      <c r="J157" s="308"/>
      <c r="K157" s="247">
        <v>0</v>
      </c>
      <c r="L157" s="247">
        <v>3670479</v>
      </c>
      <c r="M157" s="247">
        <v>0</v>
      </c>
      <c r="N157" s="247">
        <v>0</v>
      </c>
      <c r="O157" s="248">
        <f>SUM(I157)-SUM(K157,L157,M157,N157)</f>
        <v>1793450.63</v>
      </c>
      <c r="P157" s="246"/>
      <c r="Q157" s="246"/>
      <c r="R157" s="246"/>
      <c r="S157" s="246"/>
      <c r="T157" s="246"/>
      <c r="Y157" s="253">
        <v>5386678</v>
      </c>
      <c r="Z157" s="320">
        <v>-0.3</v>
      </c>
      <c r="AA157" s="320">
        <v>0.3</v>
      </c>
      <c r="AB157" s="253">
        <v>1000000</v>
      </c>
      <c r="AD157" s="40" t="e">
        <f>IF(AND(N157="",#REF!&lt;&gt;"*"),"",IF(AND(N157="",#REF!="*"),"Error 1.1",IF(ISNUMBER(N157)=FALSE,"Error 1.2",IF(N157&lt;0,"Error 1.3",""))))</f>
        <v>#REF!</v>
      </c>
      <c r="AE157" s="310"/>
      <c r="AN157" s="29" t="e">
        <f>IF(LEN(TRIM(#REF!&amp;#REF!&amp;#REF!&amp;#REF!&amp;#REF!&amp;#REF!&amp;#REF!&amp;#REF!&amp;#REF!&amp;#REF!&amp;#REF!&amp;AD157&amp;AE157&amp;AF157&amp;AG157&amp;AH157&amp;AI157&amp;AJ157&amp;AK157&amp;AL157&amp;AM157))&gt;0,1,0)</f>
        <v>#REF!</v>
      </c>
    </row>
    <row r="158" spans="1:40" s="197" customFormat="1" ht="12.75">
      <c r="A158" s="228">
        <v>96</v>
      </c>
      <c r="B158" s="51" t="s">
        <v>306</v>
      </c>
      <c r="C158" s="247">
        <v>0</v>
      </c>
      <c r="D158" s="247">
        <v>0</v>
      </c>
      <c r="E158" s="247">
        <v>157999.19</v>
      </c>
      <c r="F158" s="247">
        <v>20105.23</v>
      </c>
      <c r="G158" s="248">
        <f>SUM(C158:F158)</f>
        <v>178104.42</v>
      </c>
      <c r="H158" s="247">
        <v>0</v>
      </c>
      <c r="I158" s="248">
        <f>SUM(G158)-SUM(H158)</f>
        <v>178104.42</v>
      </c>
      <c r="J158" s="308"/>
      <c r="K158" s="247">
        <v>0</v>
      </c>
      <c r="L158" s="247">
        <v>0</v>
      </c>
      <c r="M158" s="247">
        <v>10813</v>
      </c>
      <c r="N158" s="247">
        <v>0</v>
      </c>
      <c r="O158" s="248">
        <f>SUM(I158)-SUM(K158,L158,M158,N158)</f>
        <v>167291.42</v>
      </c>
      <c r="P158" s="246"/>
      <c r="Q158" s="246"/>
      <c r="R158" s="246"/>
      <c r="S158" s="246"/>
      <c r="T158" s="246"/>
      <c r="Y158" s="253">
        <v>183720</v>
      </c>
      <c r="Z158" s="320">
        <v>-0.3</v>
      </c>
      <c r="AA158" s="320">
        <v>0.3</v>
      </c>
      <c r="AB158" s="253">
        <v>1000000</v>
      </c>
      <c r="AD158" s="40" t="e">
        <f>IF(AND(N158="",#REF!&lt;&gt;"*"),"",IF(AND(N158="",#REF!="*"),"Error 1.1",IF(ISNUMBER(N158)=FALSE,"Error 1.2",IF(N158&lt;0,"Error 1.3",""))))</f>
        <v>#REF!</v>
      </c>
      <c r="AE158" s="310"/>
      <c r="AN158" s="29" t="e">
        <f>IF(LEN(TRIM(#REF!&amp;#REF!&amp;#REF!&amp;#REF!&amp;#REF!&amp;#REF!&amp;#REF!&amp;#REF!&amp;#REF!&amp;#REF!&amp;#REF!&amp;AD158&amp;AE158&amp;AF158&amp;AG158&amp;AH158&amp;AI158&amp;AJ158&amp;AK158&amp;AL158&amp;AM158))&gt;0,1,0)</f>
        <v>#REF!</v>
      </c>
    </row>
    <row r="159" spans="1:40" s="197" customFormat="1" ht="12.75">
      <c r="A159" s="228">
        <v>97</v>
      </c>
      <c r="B159" s="51" t="s">
        <v>307</v>
      </c>
      <c r="C159" s="247">
        <v>0</v>
      </c>
      <c r="D159" s="247">
        <v>0</v>
      </c>
      <c r="E159" s="247">
        <v>0</v>
      </c>
      <c r="F159" s="247">
        <v>0</v>
      </c>
      <c r="G159" s="248">
        <f>SUM(C159:F159)</f>
        <v>0</v>
      </c>
      <c r="H159" s="247">
        <v>0</v>
      </c>
      <c r="I159" s="248">
        <f>SUM(G159)-SUM(H159)</f>
        <v>0</v>
      </c>
      <c r="J159" s="308"/>
      <c r="K159" s="247">
        <v>0</v>
      </c>
      <c r="L159" s="247">
        <v>0</v>
      </c>
      <c r="M159" s="247">
        <v>0</v>
      </c>
      <c r="N159" s="247">
        <v>0</v>
      </c>
      <c r="O159" s="248">
        <f>SUM(I159)-SUM(K159,L159,M159,N159)</f>
        <v>0</v>
      </c>
      <c r="P159" s="246"/>
      <c r="Q159" s="246"/>
      <c r="R159" s="246"/>
      <c r="Y159" s="253">
        <v>0</v>
      </c>
      <c r="Z159" s="320">
        <v>-0.3</v>
      </c>
      <c r="AA159" s="320">
        <v>0.3</v>
      </c>
      <c r="AB159" s="253">
        <v>1000000</v>
      </c>
      <c r="AD159" s="40" t="e">
        <f>IF(AND(N159="",#REF!&lt;&gt;"*"),"",IF(AND(N159="",#REF!="*"),"Error 1.1",IF(ISNUMBER(N159)=FALSE,"Error 1.2",IF(N159&lt;0,"Error 1.3",""))))</f>
        <v>#REF!</v>
      </c>
      <c r="AE159" s="310"/>
      <c r="AN159" s="29" t="e">
        <f>IF(LEN(TRIM(#REF!&amp;#REF!&amp;#REF!&amp;#REF!&amp;#REF!&amp;#REF!&amp;#REF!&amp;#REF!&amp;#REF!&amp;#REF!&amp;#REF!&amp;AD159&amp;AE159&amp;AF159&amp;AG159&amp;AH159&amp;AI159&amp;AJ159&amp;AK159&amp;AL159&amp;AM159))&gt;0,1,0)</f>
        <v>#REF!</v>
      </c>
    </row>
    <row r="160" spans="1:40" s="197" customFormat="1" ht="12.75">
      <c r="A160" s="228">
        <v>98</v>
      </c>
      <c r="B160" s="229" t="s">
        <v>308</v>
      </c>
      <c r="C160" s="247">
        <v>0</v>
      </c>
      <c r="D160" s="247">
        <v>0</v>
      </c>
      <c r="E160" s="247">
        <v>0</v>
      </c>
      <c r="F160" s="247">
        <v>0</v>
      </c>
      <c r="G160" s="248">
        <f>SUM(C160:F160)</f>
        <v>0</v>
      </c>
      <c r="H160" s="247">
        <v>0</v>
      </c>
      <c r="I160" s="248">
        <f>SUM(G160)-SUM(H160)</f>
        <v>0</v>
      </c>
      <c r="J160" s="308"/>
      <c r="K160" s="247">
        <v>0</v>
      </c>
      <c r="L160" s="247">
        <v>0</v>
      </c>
      <c r="M160" s="247">
        <v>0</v>
      </c>
      <c r="N160" s="247">
        <v>0</v>
      </c>
      <c r="O160" s="248">
        <f>SUM(I160)-SUM(K160,L160,M160,N160)</f>
        <v>0</v>
      </c>
      <c r="P160" s="246"/>
      <c r="Q160" s="246"/>
      <c r="R160" s="246"/>
      <c r="Y160" s="253">
        <v>23767</v>
      </c>
      <c r="Z160" s="320">
        <v>-0.3</v>
      </c>
      <c r="AA160" s="320">
        <v>0.3</v>
      </c>
      <c r="AB160" s="253">
        <v>1000000</v>
      </c>
      <c r="AD160" s="40" t="e">
        <f>IF(AND(N160="",#REF!&lt;&gt;"*"),"",IF(AND(N160="",#REF!="*"),"Error 1.1",IF(ISNUMBER(N160)=FALSE,"Error 1.2",IF(N160&lt;0,"Error 1.3",""))))</f>
        <v>#REF!</v>
      </c>
      <c r="AE160" s="310"/>
      <c r="AN160" s="29" t="e">
        <f>IF(LEN(TRIM(#REF!&amp;#REF!&amp;#REF!&amp;#REF!&amp;#REF!&amp;#REF!&amp;#REF!&amp;#REF!&amp;#REF!&amp;#REF!&amp;#REF!&amp;AD160&amp;AE160&amp;AF160&amp;AG160&amp;AH160&amp;AI160&amp;AJ160&amp;AK160&amp;AL160&amp;AM160))&gt;0,1,0)</f>
        <v>#REF!</v>
      </c>
    </row>
    <row r="161" spans="1:40" s="197" customFormat="1" ht="12.75">
      <c r="A161" s="228">
        <v>99</v>
      </c>
      <c r="B161" s="250" t="s">
        <v>309</v>
      </c>
      <c r="C161" s="248">
        <f>SUM(C158:C160)</f>
        <v>0</v>
      </c>
      <c r="D161" s="248">
        <f>SUM(D158:D160)</f>
        <v>0</v>
      </c>
      <c r="E161" s="248">
        <f>SUM(E158:E160)</f>
        <v>157999.19</v>
      </c>
      <c r="F161" s="248">
        <f>SUM(F158:F160)</f>
        <v>20105.23</v>
      </c>
      <c r="G161" s="248">
        <f>SUM(G157:G160)</f>
        <v>6041739.05</v>
      </c>
      <c r="H161" s="248">
        <f>SUM(H157:H160)</f>
        <v>399705</v>
      </c>
      <c r="I161" s="248">
        <f>SUM(G161)-SUM(H161)</f>
        <v>5642034.05</v>
      </c>
      <c r="J161" s="246"/>
      <c r="K161" s="248">
        <f>SUM(K157:K160)</f>
        <v>0</v>
      </c>
      <c r="L161" s="248">
        <f>SUM(L157:L160)</f>
        <v>3670479</v>
      </c>
      <c r="M161" s="248">
        <f>SUM(M157:M160)</f>
        <v>10813</v>
      </c>
      <c r="N161" s="248">
        <f>SUM(N157:N160)</f>
        <v>0</v>
      </c>
      <c r="O161" s="248">
        <f>SUM(I161)-SUM(K161,L161,M161,N161)</f>
        <v>1960742.0499999998</v>
      </c>
      <c r="Q161" s="246"/>
      <c r="R161" s="246"/>
      <c r="S161" s="246"/>
      <c r="Y161" s="253">
        <v>5594167</v>
      </c>
      <c r="Z161" s="320">
        <v>0</v>
      </c>
      <c r="AA161" s="320">
        <v>1</v>
      </c>
      <c r="AB161" s="253">
        <v>1000000</v>
      </c>
      <c r="AD161" s="310"/>
      <c r="AE161" s="310"/>
      <c r="AN161" s="29" t="e">
        <f>IF(LEN(TRIM(#REF!&amp;#REF!&amp;#REF!&amp;#REF!&amp;#REF!&amp;#REF!&amp;#REF!&amp;#REF!&amp;#REF!&amp;#REF!&amp;#REF!&amp;AD161&amp;AE161&amp;AF161&amp;AG161&amp;AH161&amp;AI161&amp;AJ161&amp;AK161&amp;AL161&amp;AM161))&gt;0,1,0)</f>
        <v>#REF!</v>
      </c>
    </row>
    <row r="162" spans="1:40" s="197" customFormat="1" ht="12.75">
      <c r="A162" s="228"/>
      <c r="B162" s="229"/>
      <c r="E162" s="246"/>
      <c r="F162" s="246"/>
      <c r="G162" s="246"/>
      <c r="H162" s="246"/>
      <c r="I162" s="322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AN162" s="168"/>
    </row>
    <row r="163" spans="1:40" s="197" customFormat="1" ht="12.75">
      <c r="A163" s="228">
        <v>100</v>
      </c>
      <c r="B163" s="340" t="s">
        <v>310</v>
      </c>
      <c r="C163" s="248">
        <f aca="true" t="shared" si="9" ref="C163:H163">SUM(C153,C161)</f>
        <v>1475675.81</v>
      </c>
      <c r="D163" s="248">
        <f t="shared" si="9"/>
        <v>41507.25</v>
      </c>
      <c r="E163" s="248">
        <f t="shared" si="9"/>
        <v>9911604.23</v>
      </c>
      <c r="F163" s="248">
        <f t="shared" si="9"/>
        <v>16354614.950000003</v>
      </c>
      <c r="G163" s="248">
        <f t="shared" si="9"/>
        <v>33647036.870000005</v>
      </c>
      <c r="H163" s="248">
        <f t="shared" si="9"/>
        <v>6471234.75</v>
      </c>
      <c r="I163" s="248">
        <f>SUM(G163)-SUM(H163)</f>
        <v>27175802.120000005</v>
      </c>
      <c r="J163" s="246"/>
      <c r="K163" s="248">
        <f>SUM(K153,K161)</f>
        <v>0</v>
      </c>
      <c r="L163" s="248">
        <f>SUM(L153,L161)</f>
        <v>12694549</v>
      </c>
      <c r="M163" s="248">
        <f>SUM(M153,M161)</f>
        <v>10813</v>
      </c>
      <c r="N163" s="248">
        <f>SUM(N153,N161)</f>
        <v>0</v>
      </c>
      <c r="O163" s="248">
        <f>SUM(I163)-SUM(K163,L163,M163,N163)</f>
        <v>14470440.120000005</v>
      </c>
      <c r="P163" s="246"/>
      <c r="Q163" s="248">
        <f>SUM(Q138,Q140,Q146)</f>
        <v>145055</v>
      </c>
      <c r="R163" s="248">
        <f>SUM(R138,R140,R146)</f>
        <v>0</v>
      </c>
      <c r="S163" s="246"/>
      <c r="AD163" s="310"/>
      <c r="AE163" s="310"/>
      <c r="AG163" s="310"/>
      <c r="AH163" s="310"/>
      <c r="AN163" s="168"/>
    </row>
    <row r="164" spans="1:40" s="197" customFormat="1" ht="12.75">
      <c r="A164" s="228"/>
      <c r="B164" s="229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AN164" s="168"/>
    </row>
    <row r="165" spans="1:40" s="197" customFormat="1" ht="22.5">
      <c r="A165" s="277">
        <v>101</v>
      </c>
      <c r="B165" s="348" t="s">
        <v>311</v>
      </c>
      <c r="C165" s="284">
        <f aca="true" t="shared" si="10" ref="C165:H165">SUM(C114:C117)+SUM(C119:C123)+SUM(C163)</f>
        <v>3989055.8</v>
      </c>
      <c r="D165" s="284">
        <f t="shared" si="10"/>
        <v>82198.54999999999</v>
      </c>
      <c r="E165" s="284">
        <f t="shared" si="10"/>
        <v>12738231.600000001</v>
      </c>
      <c r="F165" s="284">
        <f t="shared" si="10"/>
        <v>27421624.510000005</v>
      </c>
      <c r="G165" s="284">
        <f t="shared" si="10"/>
        <v>50094745.09</v>
      </c>
      <c r="H165" s="284">
        <f t="shared" si="10"/>
        <v>9455235.72</v>
      </c>
      <c r="I165" s="284">
        <f>SUM(G165)-SUM(H165)</f>
        <v>40639509.370000005</v>
      </c>
      <c r="J165" s="346"/>
      <c r="K165" s="284">
        <f>SUM(K114:K117)+SUM(K119:K123)+SUM(K163)</f>
        <v>0</v>
      </c>
      <c r="L165" s="284">
        <f>SUM(L114:L117)+SUM(L119:L123)+SUM(L163)</f>
        <v>13240303.2</v>
      </c>
      <c r="M165" s="284">
        <f>SUM(M114:M117)+SUM(M119:M123)+SUM(M163)</f>
        <v>10813</v>
      </c>
      <c r="N165" s="284">
        <f>SUM(N114:N117)+SUM(N119:N123)+SUM(N163)</f>
        <v>1684422</v>
      </c>
      <c r="O165" s="284">
        <f>SUM(I165)-SUM(K165,L165,M165,N165)</f>
        <v>25703971.170000006</v>
      </c>
      <c r="P165" s="246"/>
      <c r="Q165" s="284">
        <f>SUM(Q125,Q163)</f>
        <v>620676</v>
      </c>
      <c r="R165" s="284">
        <f>SUM(R125,R163)</f>
        <v>0</v>
      </c>
      <c r="S165" s="246"/>
      <c r="AD165" s="310"/>
      <c r="AE165" s="310"/>
      <c r="AG165" s="310"/>
      <c r="AH165" s="310"/>
      <c r="AN165" s="168"/>
    </row>
    <row r="166" spans="1:40" s="197" customFormat="1" ht="12.75">
      <c r="A166" s="228"/>
      <c r="B166" s="51"/>
      <c r="C166" s="349"/>
      <c r="D166" s="349"/>
      <c r="E166" s="349"/>
      <c r="F166" s="349"/>
      <c r="G166" s="349"/>
      <c r="H166" s="349"/>
      <c r="I166" s="329"/>
      <c r="J166" s="346"/>
      <c r="K166" s="349"/>
      <c r="L166" s="349"/>
      <c r="M166" s="349"/>
      <c r="N166" s="349"/>
      <c r="O166" s="349"/>
      <c r="P166" s="246"/>
      <c r="Q166" s="349"/>
      <c r="R166" s="349"/>
      <c r="S166" s="350"/>
      <c r="AN166" s="168"/>
    </row>
    <row r="167" spans="1:40" s="197" customFormat="1" ht="12.75">
      <c r="A167" s="228">
        <v>102</v>
      </c>
      <c r="B167" s="229" t="s">
        <v>312</v>
      </c>
      <c r="C167" s="246"/>
      <c r="D167" s="246"/>
      <c r="E167" s="246"/>
      <c r="F167" s="246"/>
      <c r="G167" s="247">
        <v>0</v>
      </c>
      <c r="H167" s="247">
        <v>0</v>
      </c>
      <c r="I167" s="248">
        <f>SUM(G167)-SUM(H167)</f>
        <v>0</v>
      </c>
      <c r="J167" s="308"/>
      <c r="K167" s="246"/>
      <c r="L167" s="246"/>
      <c r="M167" s="246"/>
      <c r="N167" s="246"/>
      <c r="O167" s="346"/>
      <c r="AN167" s="29" t="e">
        <f>IF(LEN(TRIM(#REF!&amp;#REF!&amp;#REF!&amp;#REF!&amp;#REF!&amp;#REF!&amp;#REF!&amp;#REF!&amp;#REF!&amp;#REF!&amp;#REF!&amp;AD167&amp;AE167&amp;AF167&amp;AG167&amp;AH167&amp;AI167&amp;AJ167&amp;AK167&amp;AL167&amp;AM167))&gt;0,1,0)</f>
        <v>#REF!</v>
      </c>
    </row>
    <row r="168" spans="1:40" s="197" customFormat="1" ht="12.75">
      <c r="A168" s="228">
        <v>103</v>
      </c>
      <c r="B168" s="229" t="s">
        <v>313</v>
      </c>
      <c r="C168" s="246"/>
      <c r="D168" s="246"/>
      <c r="E168" s="246"/>
      <c r="F168" s="246"/>
      <c r="G168" s="247">
        <v>0</v>
      </c>
      <c r="H168" s="247">
        <v>0</v>
      </c>
      <c r="I168" s="248">
        <f>SUM(G168)-SUM(H168)</f>
        <v>0</v>
      </c>
      <c r="J168" s="308"/>
      <c r="K168" s="246"/>
      <c r="L168" s="246"/>
      <c r="M168" s="246"/>
      <c r="N168" s="246"/>
      <c r="O168" s="346"/>
      <c r="AN168" s="29" t="e">
        <f>IF(LEN(TRIM(#REF!&amp;#REF!&amp;#REF!&amp;#REF!&amp;#REF!&amp;#REF!&amp;#REF!&amp;#REF!&amp;#REF!&amp;#REF!&amp;#REF!&amp;AD168&amp;AE168&amp;AF168&amp;AG168&amp;AH168&amp;AI168&amp;AJ168&amp;AK168&amp;AL168&amp;AM168))&gt;0,1,0)</f>
        <v>#REF!</v>
      </c>
    </row>
    <row r="169" spans="1:40" s="197" customFormat="1" ht="12.75">
      <c r="A169" s="228"/>
      <c r="B169" s="229"/>
      <c r="J169" s="246"/>
      <c r="K169" s="246"/>
      <c r="AN169" s="168"/>
    </row>
    <row r="170" spans="1:40" s="197" customFormat="1" ht="12.75">
      <c r="A170" s="264">
        <v>104</v>
      </c>
      <c r="B170" s="285" t="s">
        <v>314</v>
      </c>
      <c r="C170" s="246"/>
      <c r="D170" s="246"/>
      <c r="E170" s="246"/>
      <c r="F170" s="246"/>
      <c r="G170" s="284">
        <f>SUM(G163,G167,G168)</f>
        <v>33647036.870000005</v>
      </c>
      <c r="H170" s="284">
        <f>SUM(H163,H167,H168)</f>
        <v>6471234.75</v>
      </c>
      <c r="I170" s="248">
        <f>SUM(G170)-SUM(H170)</f>
        <v>27175802.120000005</v>
      </c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AN170" s="168"/>
    </row>
    <row r="171" spans="1:40" s="197" customFormat="1" ht="13.5" thickBot="1">
      <c r="A171" s="228"/>
      <c r="B171" s="51"/>
      <c r="C171" s="349"/>
      <c r="D171" s="349"/>
      <c r="E171" s="349"/>
      <c r="F171" s="349"/>
      <c r="G171" s="349"/>
      <c r="H171" s="349"/>
      <c r="I171" s="329"/>
      <c r="J171" s="346"/>
      <c r="K171" s="349"/>
      <c r="L171" s="349"/>
      <c r="M171" s="349"/>
      <c r="N171" s="349"/>
      <c r="O171" s="349"/>
      <c r="P171" s="246"/>
      <c r="Q171" s="349"/>
      <c r="R171" s="349"/>
      <c r="S171" s="350"/>
      <c r="AN171" s="168"/>
    </row>
    <row r="172" spans="1:40" s="197" customFormat="1" ht="24" thickBot="1" thickTop="1">
      <c r="A172" s="351">
        <v>105</v>
      </c>
      <c r="B172" s="352" t="s">
        <v>315</v>
      </c>
      <c r="C172" s="353">
        <f aca="true" t="shared" si="11" ref="C172:H172">SUM(C125,C163)</f>
        <v>108901760.8</v>
      </c>
      <c r="D172" s="353">
        <f t="shared" si="11"/>
        <v>28221490.55</v>
      </c>
      <c r="E172" s="353">
        <f t="shared" si="11"/>
        <v>33147713.6</v>
      </c>
      <c r="F172" s="353">
        <f t="shared" si="11"/>
        <v>71147420.51</v>
      </c>
      <c r="G172" s="353">
        <f t="shared" si="11"/>
        <v>247282020.09</v>
      </c>
      <c r="H172" s="353">
        <f t="shared" si="11"/>
        <v>19010570.57</v>
      </c>
      <c r="I172" s="353">
        <f>SUM(G172)-SUM(H172)</f>
        <v>228271449.52</v>
      </c>
      <c r="J172" s="354"/>
      <c r="K172" s="353">
        <f>SUM(K125,K163)</f>
        <v>7951905</v>
      </c>
      <c r="L172" s="353">
        <f>SUM(L125,L163)</f>
        <v>26493450.869999997</v>
      </c>
      <c r="M172" s="353">
        <f>SUM(M125,M163)</f>
        <v>10813</v>
      </c>
      <c r="N172" s="353">
        <f>SUM(N125,N163)</f>
        <v>18823891</v>
      </c>
      <c r="O172" s="353">
        <f>SUM(I172)-SUM(K172,L172,M172,N172)</f>
        <v>174991389.65</v>
      </c>
      <c r="Q172" s="246"/>
      <c r="R172" s="246"/>
      <c r="S172" s="353">
        <f>SUM(S107:S110)+SUM(S114:S117)</f>
        <v>9213747</v>
      </c>
      <c r="AD172" s="355"/>
      <c r="AE172" s="355"/>
      <c r="AI172" s="355"/>
      <c r="AN172" s="168"/>
    </row>
    <row r="173" spans="1:40" s="197" customFormat="1" ht="14.25" thickBot="1" thickTop="1">
      <c r="A173" s="228"/>
      <c r="B173" s="229"/>
      <c r="J173" s="246"/>
      <c r="K173" s="246"/>
      <c r="AN173" s="168"/>
    </row>
    <row r="174" spans="1:40" s="197" customFormat="1" ht="14.25" thickBot="1" thickTop="1">
      <c r="A174" s="336">
        <v>106</v>
      </c>
      <c r="B174" s="356" t="s">
        <v>316</v>
      </c>
      <c r="G174" s="353">
        <f>SUM(G131,G170)</f>
        <v>248652901.1</v>
      </c>
      <c r="H174" s="353">
        <f>SUM(H131,H170)</f>
        <v>19010570.57</v>
      </c>
      <c r="I174" s="353">
        <f>SUM(G174)-SUM(H174)</f>
        <v>229642330.53</v>
      </c>
      <c r="J174" s="354"/>
      <c r="K174" s="353">
        <f>SUM(K131,K153,K161)</f>
        <v>7951905</v>
      </c>
      <c r="L174" s="353">
        <f>SUM(L131,L153,L161)</f>
        <v>27067539.869999997</v>
      </c>
      <c r="M174" s="353">
        <f>SUM(M131,M153,M161)</f>
        <v>10813</v>
      </c>
      <c r="N174" s="353">
        <f>SUM(N131,N153,N161)</f>
        <v>18823891</v>
      </c>
      <c r="O174" s="353">
        <f>SUM(I174)-SUM(K174,L174,M174,N174)</f>
        <v>175788181.66</v>
      </c>
      <c r="Y174" s="357">
        <v>220743716</v>
      </c>
      <c r="Z174" s="320">
        <v>0</v>
      </c>
      <c r="AA174" s="320">
        <v>0.15</v>
      </c>
      <c r="AB174" s="357">
        <v>1000000</v>
      </c>
      <c r="AD174" s="355"/>
      <c r="AE174" s="355"/>
      <c r="AN174" s="29" t="e">
        <f>IF(LEN(TRIM(#REF!&amp;#REF!&amp;#REF!&amp;#REF!&amp;#REF!&amp;#REF!&amp;#REF!&amp;#REF!&amp;#REF!&amp;#REF!&amp;#REF!&amp;AD174&amp;AE174&amp;AF174&amp;AG174&amp;AH174&amp;AI174&amp;AJ174&amp;AK174&amp;AL174&amp;AM174))&gt;0,1,0)</f>
        <v>#REF!</v>
      </c>
    </row>
    <row r="175" s="197" customFormat="1" ht="13.5" thickTop="1">
      <c r="AN175" s="51"/>
    </row>
    <row r="176" spans="1:52" s="197" customFormat="1" ht="12.75">
      <c r="A176" s="358" t="s">
        <v>317</v>
      </c>
      <c r="B176" s="359"/>
      <c r="C176" s="359"/>
      <c r="D176" s="359"/>
      <c r="E176" s="359"/>
      <c r="F176" s="359"/>
      <c r="G176" s="359"/>
      <c r="H176" s="359"/>
      <c r="I176" s="359"/>
      <c r="J176" s="359"/>
      <c r="K176" s="360"/>
      <c r="AN176" s="51"/>
      <c r="AP176" s="358" t="s">
        <v>318</v>
      </c>
      <c r="AQ176" s="359"/>
      <c r="AR176" s="359"/>
      <c r="AS176" s="359"/>
      <c r="AT176" s="359"/>
      <c r="AU176" s="359"/>
      <c r="AV176" s="359"/>
      <c r="AW176" s="359"/>
      <c r="AX176" s="359"/>
      <c r="AY176" s="359"/>
      <c r="AZ176" s="360"/>
    </row>
    <row r="177" spans="1:52" s="197" customFormat="1" ht="12.75">
      <c r="A177" s="361" t="s">
        <v>319</v>
      </c>
      <c r="B177" s="362"/>
      <c r="C177" s="362"/>
      <c r="D177" s="362"/>
      <c r="E177" s="362"/>
      <c r="F177" s="362"/>
      <c r="G177" s="362"/>
      <c r="H177" s="362"/>
      <c r="I177" s="362"/>
      <c r="J177" s="362"/>
      <c r="K177" s="363"/>
      <c r="AN177" s="229"/>
      <c r="AP177" s="361" t="s">
        <v>320</v>
      </c>
      <c r="AQ177" s="362"/>
      <c r="AR177" s="362"/>
      <c r="AS177" s="362"/>
      <c r="AT177" s="362"/>
      <c r="AU177" s="362"/>
      <c r="AV177" s="362"/>
      <c r="AW177" s="362"/>
      <c r="AX177" s="362"/>
      <c r="AY177" s="362"/>
      <c r="AZ177" s="363"/>
    </row>
    <row r="178" spans="1:52" s="197" customFormat="1" ht="12.75">
      <c r="A178" s="364"/>
      <c r="B178" s="365"/>
      <c r="C178" s="365"/>
      <c r="D178" s="365"/>
      <c r="E178" s="365"/>
      <c r="F178" s="365"/>
      <c r="G178" s="365"/>
      <c r="H178" s="365"/>
      <c r="I178" s="365"/>
      <c r="J178" s="365"/>
      <c r="K178" s="366"/>
      <c r="AN178" s="229"/>
      <c r="AP178" s="367"/>
      <c r="AQ178" s="368"/>
      <c r="AR178" s="368"/>
      <c r="AS178" s="368"/>
      <c r="AT178" s="368"/>
      <c r="AU178" s="368"/>
      <c r="AV178" s="368"/>
      <c r="AW178" s="368"/>
      <c r="AX178" s="368"/>
      <c r="AY178" s="368"/>
      <c r="AZ178" s="369"/>
    </row>
    <row r="179" spans="1:52" s="197" customFormat="1" ht="12.75">
      <c r="A179" s="370" t="s">
        <v>321</v>
      </c>
      <c r="B179" s="371"/>
      <c r="C179" s="371"/>
      <c r="D179" s="371"/>
      <c r="E179" s="371"/>
      <c r="F179" s="371"/>
      <c r="G179" s="371"/>
      <c r="H179" s="371"/>
      <c r="I179" s="371"/>
      <c r="J179" s="371"/>
      <c r="K179" s="372"/>
      <c r="AN179" s="229"/>
      <c r="AP179" s="373"/>
      <c r="AQ179" s="368"/>
      <c r="AR179" s="368"/>
      <c r="AS179" s="368"/>
      <c r="AT179" s="368"/>
      <c r="AU179" s="368"/>
      <c r="AV179" s="368"/>
      <c r="AW179" s="368"/>
      <c r="AX179" s="368"/>
      <c r="AY179" s="368"/>
      <c r="AZ179" s="374"/>
    </row>
    <row r="180" spans="1:52" s="197" customFormat="1" ht="12.75">
      <c r="A180" s="370"/>
      <c r="B180" s="371"/>
      <c r="C180" s="371"/>
      <c r="D180" s="371"/>
      <c r="E180" s="371"/>
      <c r="F180" s="371"/>
      <c r="G180" s="371"/>
      <c r="H180" s="371"/>
      <c r="I180" s="371"/>
      <c r="J180" s="371"/>
      <c r="K180" s="372"/>
      <c r="AN180" s="229"/>
      <c r="AP180" s="373"/>
      <c r="AQ180" s="368"/>
      <c r="AR180" s="368"/>
      <c r="AS180" s="368"/>
      <c r="AT180" s="368"/>
      <c r="AU180" s="368"/>
      <c r="AV180" s="368"/>
      <c r="AW180" s="368"/>
      <c r="AX180" s="368"/>
      <c r="AY180" s="368"/>
      <c r="AZ180" s="374"/>
    </row>
    <row r="181" spans="1:52" s="197" customFormat="1" ht="12.75">
      <c r="A181" s="370"/>
      <c r="B181" s="371"/>
      <c r="C181" s="371"/>
      <c r="D181" s="371"/>
      <c r="E181" s="371"/>
      <c r="F181" s="371"/>
      <c r="G181" s="371"/>
      <c r="H181" s="371"/>
      <c r="I181" s="371"/>
      <c r="J181" s="371"/>
      <c r="K181" s="372"/>
      <c r="AN181" s="229"/>
      <c r="AP181" s="373"/>
      <c r="AQ181" s="368"/>
      <c r="AR181" s="368"/>
      <c r="AS181" s="368"/>
      <c r="AT181" s="368"/>
      <c r="AU181" s="368"/>
      <c r="AV181" s="368"/>
      <c r="AW181" s="368"/>
      <c r="AX181" s="368"/>
      <c r="AY181" s="368"/>
      <c r="AZ181" s="374"/>
    </row>
    <row r="182" spans="1:52" s="197" customFormat="1" ht="12.75">
      <c r="A182" s="370"/>
      <c r="B182" s="371"/>
      <c r="C182" s="371"/>
      <c r="D182" s="371"/>
      <c r="E182" s="371"/>
      <c r="F182" s="371"/>
      <c r="G182" s="371"/>
      <c r="H182" s="371"/>
      <c r="I182" s="371"/>
      <c r="J182" s="371"/>
      <c r="K182" s="372"/>
      <c r="AN182" s="229"/>
      <c r="AP182" s="373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74"/>
    </row>
    <row r="183" spans="1:52" s="197" customFormat="1" ht="12.75">
      <c r="A183" s="370"/>
      <c r="B183" s="371"/>
      <c r="C183" s="371"/>
      <c r="D183" s="371"/>
      <c r="E183" s="371"/>
      <c r="F183" s="371"/>
      <c r="G183" s="371"/>
      <c r="H183" s="371"/>
      <c r="I183" s="371"/>
      <c r="J183" s="371"/>
      <c r="K183" s="372"/>
      <c r="AN183" s="229"/>
      <c r="AP183" s="373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74"/>
    </row>
    <row r="184" spans="1:52" s="197" customFormat="1" ht="12.75">
      <c r="A184" s="370"/>
      <c r="B184" s="371"/>
      <c r="C184" s="371"/>
      <c r="D184" s="371"/>
      <c r="E184" s="371"/>
      <c r="F184" s="371"/>
      <c r="G184" s="371"/>
      <c r="H184" s="371"/>
      <c r="I184" s="371"/>
      <c r="J184" s="371"/>
      <c r="K184" s="372"/>
      <c r="AN184" s="229"/>
      <c r="AP184" s="373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74"/>
    </row>
    <row r="185" spans="1:52" s="197" customFormat="1" ht="12.75">
      <c r="A185" s="370"/>
      <c r="B185" s="371"/>
      <c r="C185" s="371"/>
      <c r="D185" s="371"/>
      <c r="E185" s="371"/>
      <c r="F185" s="371"/>
      <c r="G185" s="371"/>
      <c r="H185" s="371"/>
      <c r="I185" s="371"/>
      <c r="J185" s="371"/>
      <c r="K185" s="372"/>
      <c r="AN185" s="229"/>
      <c r="AP185" s="373"/>
      <c r="AQ185" s="368"/>
      <c r="AR185" s="368"/>
      <c r="AS185" s="368"/>
      <c r="AT185" s="368"/>
      <c r="AU185" s="368"/>
      <c r="AV185" s="368"/>
      <c r="AW185" s="368"/>
      <c r="AX185" s="368"/>
      <c r="AY185" s="368"/>
      <c r="AZ185" s="374"/>
    </row>
    <row r="186" spans="1:52" s="197" customFormat="1" ht="12.75">
      <c r="A186" s="370"/>
      <c r="B186" s="371"/>
      <c r="C186" s="371"/>
      <c r="D186" s="371"/>
      <c r="E186" s="371"/>
      <c r="F186" s="371"/>
      <c r="G186" s="371"/>
      <c r="H186" s="371"/>
      <c r="I186" s="371"/>
      <c r="J186" s="371"/>
      <c r="K186" s="372"/>
      <c r="AN186" s="229"/>
      <c r="AP186" s="373"/>
      <c r="AQ186" s="368"/>
      <c r="AR186" s="368"/>
      <c r="AS186" s="368"/>
      <c r="AT186" s="368"/>
      <c r="AU186" s="368"/>
      <c r="AV186" s="368"/>
      <c r="AW186" s="368"/>
      <c r="AX186" s="368"/>
      <c r="AY186" s="368"/>
      <c r="AZ186" s="374"/>
    </row>
    <row r="187" spans="1:52" s="197" customFormat="1" ht="12.75">
      <c r="A187" s="370"/>
      <c r="B187" s="371"/>
      <c r="C187" s="371"/>
      <c r="D187" s="371"/>
      <c r="E187" s="371"/>
      <c r="F187" s="371"/>
      <c r="G187" s="371"/>
      <c r="H187" s="371"/>
      <c r="I187" s="371"/>
      <c r="J187" s="371"/>
      <c r="K187" s="372"/>
      <c r="AN187" s="229"/>
      <c r="AP187" s="373"/>
      <c r="AQ187" s="368"/>
      <c r="AR187" s="368"/>
      <c r="AS187" s="368"/>
      <c r="AT187" s="368"/>
      <c r="AU187" s="368"/>
      <c r="AV187" s="368"/>
      <c r="AW187" s="368"/>
      <c r="AX187" s="368"/>
      <c r="AY187" s="368"/>
      <c r="AZ187" s="374"/>
    </row>
    <row r="188" spans="1:52" s="197" customFormat="1" ht="12.75">
      <c r="A188" s="370"/>
      <c r="B188" s="371"/>
      <c r="C188" s="371"/>
      <c r="D188" s="371"/>
      <c r="E188" s="371"/>
      <c r="F188" s="371"/>
      <c r="G188" s="371"/>
      <c r="H188" s="371"/>
      <c r="I188" s="371"/>
      <c r="J188" s="371"/>
      <c r="K188" s="372"/>
      <c r="AN188" s="229"/>
      <c r="AP188" s="373"/>
      <c r="AQ188" s="368"/>
      <c r="AR188" s="368"/>
      <c r="AS188" s="368"/>
      <c r="AT188" s="368"/>
      <c r="AU188" s="368"/>
      <c r="AV188" s="368"/>
      <c r="AW188" s="368"/>
      <c r="AX188" s="368"/>
      <c r="AY188" s="368"/>
      <c r="AZ188" s="374"/>
    </row>
    <row r="189" spans="1:52" s="197" customFormat="1" ht="12.75">
      <c r="A189" s="370"/>
      <c r="B189" s="371"/>
      <c r="C189" s="371"/>
      <c r="D189" s="371"/>
      <c r="E189" s="371"/>
      <c r="F189" s="371"/>
      <c r="G189" s="371"/>
      <c r="H189" s="371"/>
      <c r="I189" s="371"/>
      <c r="J189" s="371"/>
      <c r="K189" s="372"/>
      <c r="AN189" s="229"/>
      <c r="AP189" s="373"/>
      <c r="AQ189" s="368"/>
      <c r="AR189" s="368"/>
      <c r="AS189" s="368"/>
      <c r="AT189" s="368"/>
      <c r="AU189" s="368"/>
      <c r="AV189" s="368"/>
      <c r="AW189" s="368"/>
      <c r="AX189" s="368"/>
      <c r="AY189" s="368"/>
      <c r="AZ189" s="374"/>
    </row>
    <row r="190" spans="1:52" s="197" customFormat="1" ht="12.75">
      <c r="A190" s="370"/>
      <c r="B190" s="371"/>
      <c r="C190" s="371"/>
      <c r="D190" s="371"/>
      <c r="E190" s="371"/>
      <c r="F190" s="371"/>
      <c r="G190" s="371"/>
      <c r="H190" s="371"/>
      <c r="I190" s="371"/>
      <c r="J190" s="371"/>
      <c r="K190" s="372"/>
      <c r="AN190" s="229"/>
      <c r="AP190" s="373"/>
      <c r="AQ190" s="368"/>
      <c r="AR190" s="368"/>
      <c r="AS190" s="368"/>
      <c r="AT190" s="368"/>
      <c r="AU190" s="368"/>
      <c r="AV190" s="368"/>
      <c r="AW190" s="368"/>
      <c r="AX190" s="368"/>
      <c r="AY190" s="368"/>
      <c r="AZ190" s="374"/>
    </row>
    <row r="191" spans="1:52" s="197" customFormat="1" ht="12.75">
      <c r="A191" s="370"/>
      <c r="B191" s="371"/>
      <c r="C191" s="371"/>
      <c r="D191" s="371"/>
      <c r="E191" s="371"/>
      <c r="F191" s="371"/>
      <c r="G191" s="371"/>
      <c r="H191" s="371"/>
      <c r="I191" s="371"/>
      <c r="J191" s="371"/>
      <c r="K191" s="372"/>
      <c r="AN191" s="229"/>
      <c r="AP191" s="373"/>
      <c r="AQ191" s="368"/>
      <c r="AR191" s="368"/>
      <c r="AS191" s="368"/>
      <c r="AT191" s="368"/>
      <c r="AU191" s="368"/>
      <c r="AV191" s="368"/>
      <c r="AW191" s="368"/>
      <c r="AX191" s="368"/>
      <c r="AY191" s="368"/>
      <c r="AZ191" s="374"/>
    </row>
    <row r="192" spans="1:52" s="197" customFormat="1" ht="12.75">
      <c r="A192" s="370"/>
      <c r="B192" s="371"/>
      <c r="C192" s="371"/>
      <c r="D192" s="371"/>
      <c r="E192" s="371"/>
      <c r="F192" s="371"/>
      <c r="G192" s="371"/>
      <c r="H192" s="371"/>
      <c r="I192" s="371"/>
      <c r="J192" s="371"/>
      <c r="K192" s="372"/>
      <c r="AN192" s="229"/>
      <c r="AP192" s="373"/>
      <c r="AQ192" s="368"/>
      <c r="AR192" s="368"/>
      <c r="AS192" s="368"/>
      <c r="AT192" s="368"/>
      <c r="AU192" s="368"/>
      <c r="AV192" s="368"/>
      <c r="AW192" s="368"/>
      <c r="AX192" s="368"/>
      <c r="AY192" s="368"/>
      <c r="AZ192" s="374"/>
    </row>
    <row r="193" spans="1:52" s="197" customFormat="1" ht="12.75">
      <c r="A193" s="370"/>
      <c r="B193" s="371"/>
      <c r="C193" s="371"/>
      <c r="D193" s="371"/>
      <c r="E193" s="371"/>
      <c r="F193" s="371"/>
      <c r="G193" s="371"/>
      <c r="H193" s="371"/>
      <c r="I193" s="371"/>
      <c r="J193" s="371"/>
      <c r="K193" s="372"/>
      <c r="AN193" s="229"/>
      <c r="AP193" s="373"/>
      <c r="AQ193" s="368"/>
      <c r="AR193" s="368"/>
      <c r="AS193" s="368"/>
      <c r="AT193" s="368"/>
      <c r="AU193" s="368"/>
      <c r="AV193" s="368"/>
      <c r="AW193" s="368"/>
      <c r="AX193" s="368"/>
      <c r="AY193" s="368"/>
      <c r="AZ193" s="374"/>
    </row>
    <row r="194" spans="1:52" s="197" customFormat="1" ht="12.75">
      <c r="A194" s="370"/>
      <c r="B194" s="371"/>
      <c r="C194" s="371"/>
      <c r="D194" s="371"/>
      <c r="E194" s="371"/>
      <c r="F194" s="371"/>
      <c r="G194" s="371"/>
      <c r="H194" s="371"/>
      <c r="I194" s="371"/>
      <c r="J194" s="371"/>
      <c r="K194" s="372"/>
      <c r="AN194" s="229"/>
      <c r="AP194" s="373"/>
      <c r="AQ194" s="368"/>
      <c r="AR194" s="368"/>
      <c r="AS194" s="368"/>
      <c r="AT194" s="368"/>
      <c r="AU194" s="368"/>
      <c r="AV194" s="368"/>
      <c r="AW194" s="368"/>
      <c r="AX194" s="368"/>
      <c r="AY194" s="368"/>
      <c r="AZ194" s="374"/>
    </row>
    <row r="195" spans="1:52" s="197" customFormat="1" ht="12.75">
      <c r="A195" s="370"/>
      <c r="B195" s="371"/>
      <c r="C195" s="371"/>
      <c r="D195" s="371"/>
      <c r="E195" s="371"/>
      <c r="F195" s="371"/>
      <c r="G195" s="371"/>
      <c r="H195" s="371"/>
      <c r="I195" s="371"/>
      <c r="J195" s="371"/>
      <c r="K195" s="372"/>
      <c r="AN195" s="229"/>
      <c r="AP195" s="373"/>
      <c r="AQ195" s="368"/>
      <c r="AR195" s="368"/>
      <c r="AS195" s="368"/>
      <c r="AT195" s="368"/>
      <c r="AU195" s="368"/>
      <c r="AV195" s="368"/>
      <c r="AW195" s="368"/>
      <c r="AX195" s="368"/>
      <c r="AY195" s="368"/>
      <c r="AZ195" s="374"/>
    </row>
    <row r="196" spans="1:52" s="197" customFormat="1" ht="12.75">
      <c r="A196" s="370"/>
      <c r="B196" s="371"/>
      <c r="C196" s="371"/>
      <c r="D196" s="371"/>
      <c r="E196" s="371"/>
      <c r="F196" s="371"/>
      <c r="G196" s="371"/>
      <c r="H196" s="371"/>
      <c r="I196" s="371"/>
      <c r="J196" s="371"/>
      <c r="K196" s="372"/>
      <c r="AN196" s="229"/>
      <c r="AP196" s="373"/>
      <c r="AQ196" s="368"/>
      <c r="AR196" s="368"/>
      <c r="AS196" s="368"/>
      <c r="AT196" s="368"/>
      <c r="AU196" s="368"/>
      <c r="AV196" s="368"/>
      <c r="AW196" s="368"/>
      <c r="AX196" s="368"/>
      <c r="AY196" s="368"/>
      <c r="AZ196" s="374"/>
    </row>
    <row r="197" spans="1:52" s="197" customFormat="1" ht="12.75">
      <c r="A197" s="370"/>
      <c r="B197" s="371"/>
      <c r="C197" s="371"/>
      <c r="D197" s="371"/>
      <c r="E197" s="371"/>
      <c r="F197" s="371"/>
      <c r="G197" s="371"/>
      <c r="H197" s="371"/>
      <c r="I197" s="371"/>
      <c r="J197" s="371"/>
      <c r="K197" s="372"/>
      <c r="AN197" s="229"/>
      <c r="AP197" s="373"/>
      <c r="AQ197" s="368"/>
      <c r="AR197" s="368"/>
      <c r="AS197" s="368"/>
      <c r="AT197" s="368"/>
      <c r="AU197" s="368"/>
      <c r="AV197" s="368"/>
      <c r="AW197" s="368"/>
      <c r="AX197" s="368"/>
      <c r="AY197" s="368"/>
      <c r="AZ197" s="374"/>
    </row>
    <row r="198" spans="1:52" s="197" customFormat="1" ht="12.75">
      <c r="A198" s="370"/>
      <c r="B198" s="371"/>
      <c r="C198" s="371"/>
      <c r="D198" s="371"/>
      <c r="E198" s="371"/>
      <c r="F198" s="371"/>
      <c r="G198" s="371"/>
      <c r="H198" s="371"/>
      <c r="I198" s="371"/>
      <c r="J198" s="371"/>
      <c r="K198" s="372"/>
      <c r="AN198" s="229"/>
      <c r="AP198" s="373"/>
      <c r="AQ198" s="368"/>
      <c r="AR198" s="368"/>
      <c r="AS198" s="368"/>
      <c r="AT198" s="368"/>
      <c r="AU198" s="368"/>
      <c r="AV198" s="368"/>
      <c r="AW198" s="368"/>
      <c r="AX198" s="368"/>
      <c r="AY198" s="368"/>
      <c r="AZ198" s="374"/>
    </row>
    <row r="199" spans="1:52" s="197" customFormat="1" ht="12.75">
      <c r="A199" s="370"/>
      <c r="B199" s="371"/>
      <c r="C199" s="371"/>
      <c r="D199" s="371"/>
      <c r="E199" s="371"/>
      <c r="F199" s="371"/>
      <c r="G199" s="371"/>
      <c r="H199" s="371"/>
      <c r="I199" s="371"/>
      <c r="J199" s="371"/>
      <c r="K199" s="372"/>
      <c r="AN199" s="229"/>
      <c r="AP199" s="373"/>
      <c r="AQ199" s="368"/>
      <c r="AR199" s="368"/>
      <c r="AS199" s="368"/>
      <c r="AT199" s="368"/>
      <c r="AU199" s="368"/>
      <c r="AV199" s="368"/>
      <c r="AW199" s="368"/>
      <c r="AX199" s="368"/>
      <c r="AY199" s="368"/>
      <c r="AZ199" s="374"/>
    </row>
    <row r="200" spans="1:52" s="197" customFormat="1" ht="12.75">
      <c r="A200" s="370"/>
      <c r="B200" s="371"/>
      <c r="C200" s="371"/>
      <c r="D200" s="371"/>
      <c r="E200" s="371"/>
      <c r="F200" s="371"/>
      <c r="G200" s="371"/>
      <c r="H200" s="371"/>
      <c r="I200" s="371"/>
      <c r="J200" s="371"/>
      <c r="K200" s="372"/>
      <c r="AN200" s="229"/>
      <c r="AP200" s="373"/>
      <c r="AQ200" s="368"/>
      <c r="AR200" s="368"/>
      <c r="AS200" s="368"/>
      <c r="AT200" s="368"/>
      <c r="AU200" s="368"/>
      <c r="AV200" s="368"/>
      <c r="AW200" s="368"/>
      <c r="AX200" s="368"/>
      <c r="AY200" s="368"/>
      <c r="AZ200" s="374"/>
    </row>
    <row r="201" spans="1:52" s="197" customFormat="1" ht="12.75">
      <c r="A201" s="370"/>
      <c r="B201" s="371"/>
      <c r="C201" s="371"/>
      <c r="D201" s="371"/>
      <c r="E201" s="371"/>
      <c r="F201" s="371"/>
      <c r="G201" s="371"/>
      <c r="H201" s="371"/>
      <c r="I201" s="371"/>
      <c r="J201" s="371"/>
      <c r="K201" s="372"/>
      <c r="AN201" s="229"/>
      <c r="AP201" s="373"/>
      <c r="AQ201" s="368"/>
      <c r="AR201" s="368"/>
      <c r="AS201" s="368"/>
      <c r="AT201" s="368"/>
      <c r="AU201" s="368"/>
      <c r="AV201" s="368"/>
      <c r="AW201" s="368"/>
      <c r="AX201" s="368"/>
      <c r="AY201" s="368"/>
      <c r="AZ201" s="374"/>
    </row>
    <row r="202" spans="1:52" s="197" customFormat="1" ht="12.75">
      <c r="A202" s="370"/>
      <c r="B202" s="371"/>
      <c r="C202" s="371"/>
      <c r="D202" s="371"/>
      <c r="E202" s="371"/>
      <c r="F202" s="371"/>
      <c r="G202" s="371"/>
      <c r="H202" s="371"/>
      <c r="I202" s="371"/>
      <c r="J202" s="371"/>
      <c r="K202" s="372"/>
      <c r="AN202" s="229"/>
      <c r="AP202" s="373"/>
      <c r="AQ202" s="368"/>
      <c r="AR202" s="368"/>
      <c r="AS202" s="368"/>
      <c r="AT202" s="368"/>
      <c r="AU202" s="368"/>
      <c r="AV202" s="368"/>
      <c r="AW202" s="368"/>
      <c r="AX202" s="368"/>
      <c r="AY202" s="368"/>
      <c r="AZ202" s="374"/>
    </row>
    <row r="203" spans="1:52" s="197" customFormat="1" ht="12.75">
      <c r="A203" s="370"/>
      <c r="B203" s="371"/>
      <c r="C203" s="371"/>
      <c r="D203" s="371"/>
      <c r="E203" s="371"/>
      <c r="F203" s="371"/>
      <c r="G203" s="371"/>
      <c r="H203" s="371"/>
      <c r="I203" s="371"/>
      <c r="J203" s="371"/>
      <c r="K203" s="372"/>
      <c r="AN203" s="229"/>
      <c r="AP203" s="373"/>
      <c r="AQ203" s="368"/>
      <c r="AR203" s="368"/>
      <c r="AS203" s="368"/>
      <c r="AT203" s="368"/>
      <c r="AU203" s="368"/>
      <c r="AV203" s="368"/>
      <c r="AW203" s="368"/>
      <c r="AX203" s="368"/>
      <c r="AY203" s="368"/>
      <c r="AZ203" s="374"/>
    </row>
    <row r="204" spans="1:52" s="197" customFormat="1" ht="12.75">
      <c r="A204" s="370"/>
      <c r="B204" s="371"/>
      <c r="C204" s="371"/>
      <c r="D204" s="371"/>
      <c r="E204" s="371"/>
      <c r="F204" s="371"/>
      <c r="G204" s="371"/>
      <c r="H204" s="371"/>
      <c r="I204" s="371"/>
      <c r="J204" s="371"/>
      <c r="K204" s="372"/>
      <c r="AN204" s="229"/>
      <c r="AP204" s="373"/>
      <c r="AQ204" s="368"/>
      <c r="AR204" s="368"/>
      <c r="AS204" s="368"/>
      <c r="AT204" s="368"/>
      <c r="AU204" s="368"/>
      <c r="AV204" s="368"/>
      <c r="AW204" s="368"/>
      <c r="AX204" s="368"/>
      <c r="AY204" s="368"/>
      <c r="AZ204" s="374"/>
    </row>
    <row r="205" spans="1:52" s="197" customFormat="1" ht="12.75">
      <c r="A205" s="370"/>
      <c r="B205" s="371"/>
      <c r="C205" s="371"/>
      <c r="D205" s="371"/>
      <c r="E205" s="371"/>
      <c r="F205" s="371"/>
      <c r="G205" s="371"/>
      <c r="H205" s="371"/>
      <c r="I205" s="371"/>
      <c r="J205" s="371"/>
      <c r="K205" s="372"/>
      <c r="AN205" s="229"/>
      <c r="AP205" s="373"/>
      <c r="AQ205" s="368"/>
      <c r="AR205" s="368"/>
      <c r="AS205" s="368"/>
      <c r="AT205" s="368"/>
      <c r="AU205" s="368"/>
      <c r="AV205" s="368"/>
      <c r="AW205" s="368"/>
      <c r="AX205" s="368"/>
      <c r="AY205" s="368"/>
      <c r="AZ205" s="374"/>
    </row>
    <row r="206" spans="1:52" ht="12.75">
      <c r="A206" s="370"/>
      <c r="B206" s="371"/>
      <c r="C206" s="371"/>
      <c r="D206" s="371"/>
      <c r="E206" s="371"/>
      <c r="F206" s="371"/>
      <c r="G206" s="371"/>
      <c r="H206" s="371"/>
      <c r="I206" s="371"/>
      <c r="J206" s="371"/>
      <c r="K206" s="372"/>
      <c r="AP206" s="191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3"/>
    </row>
    <row r="207" spans="1:52" ht="12.75">
      <c r="A207" s="370"/>
      <c r="B207" s="371"/>
      <c r="C207" s="371"/>
      <c r="D207" s="371"/>
      <c r="E207" s="371"/>
      <c r="F207" s="371"/>
      <c r="G207" s="371"/>
      <c r="H207" s="371"/>
      <c r="I207" s="371"/>
      <c r="J207" s="371"/>
      <c r="K207" s="372"/>
      <c r="AP207" s="191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3"/>
    </row>
    <row r="208" spans="1:52" ht="12.75">
      <c r="A208" s="370"/>
      <c r="B208" s="371"/>
      <c r="C208" s="371"/>
      <c r="D208" s="371"/>
      <c r="E208" s="371"/>
      <c r="F208" s="371"/>
      <c r="G208" s="371"/>
      <c r="H208" s="371"/>
      <c r="I208" s="371"/>
      <c r="J208" s="371"/>
      <c r="K208" s="372"/>
      <c r="AP208" s="191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3"/>
    </row>
    <row r="209" spans="1:52" ht="12.75">
      <c r="A209" s="370"/>
      <c r="B209" s="371"/>
      <c r="C209" s="371"/>
      <c r="D209" s="371"/>
      <c r="E209" s="371"/>
      <c r="F209" s="371"/>
      <c r="G209" s="371"/>
      <c r="H209" s="371"/>
      <c r="I209" s="371"/>
      <c r="J209" s="371"/>
      <c r="K209" s="372"/>
      <c r="AP209" s="191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3"/>
    </row>
    <row r="210" spans="1:52" ht="12.75">
      <c r="A210" s="370"/>
      <c r="B210" s="371"/>
      <c r="C210" s="371"/>
      <c r="D210" s="371"/>
      <c r="E210" s="371"/>
      <c r="F210" s="371"/>
      <c r="G210" s="371"/>
      <c r="H210" s="371"/>
      <c r="I210" s="371"/>
      <c r="J210" s="371"/>
      <c r="K210" s="372"/>
      <c r="AP210" s="191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3"/>
    </row>
    <row r="211" spans="1:52" ht="12.75">
      <c r="A211" s="370"/>
      <c r="B211" s="371"/>
      <c r="C211" s="371"/>
      <c r="D211" s="371"/>
      <c r="E211" s="371"/>
      <c r="F211" s="371"/>
      <c r="G211" s="371"/>
      <c r="H211" s="371"/>
      <c r="I211" s="371"/>
      <c r="J211" s="371"/>
      <c r="K211" s="372"/>
      <c r="AP211" s="191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3"/>
    </row>
    <row r="212" spans="1:52" ht="12.75">
      <c r="A212" s="370"/>
      <c r="B212" s="371"/>
      <c r="C212" s="371"/>
      <c r="D212" s="371"/>
      <c r="E212" s="371"/>
      <c r="F212" s="371"/>
      <c r="G212" s="371"/>
      <c r="H212" s="371"/>
      <c r="I212" s="371"/>
      <c r="J212" s="371"/>
      <c r="K212" s="372"/>
      <c r="AP212" s="191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3"/>
    </row>
    <row r="213" spans="1:52" ht="12.75">
      <c r="A213" s="370"/>
      <c r="B213" s="371"/>
      <c r="C213" s="371"/>
      <c r="D213" s="371"/>
      <c r="E213" s="371"/>
      <c r="F213" s="371"/>
      <c r="G213" s="371"/>
      <c r="H213" s="371"/>
      <c r="I213" s="371"/>
      <c r="J213" s="371"/>
      <c r="K213" s="372"/>
      <c r="AP213" s="191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3"/>
    </row>
    <row r="214" spans="1:52" ht="12.75">
      <c r="A214" s="370"/>
      <c r="B214" s="371"/>
      <c r="C214" s="371"/>
      <c r="D214" s="371"/>
      <c r="E214" s="371"/>
      <c r="F214" s="371"/>
      <c r="G214" s="371"/>
      <c r="H214" s="371"/>
      <c r="I214" s="371"/>
      <c r="J214" s="371"/>
      <c r="K214" s="372"/>
      <c r="AP214" s="191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3"/>
    </row>
    <row r="215" spans="1:52" ht="12.75">
      <c r="A215" s="370"/>
      <c r="B215" s="371"/>
      <c r="C215" s="371"/>
      <c r="D215" s="371"/>
      <c r="E215" s="371"/>
      <c r="F215" s="371"/>
      <c r="G215" s="371"/>
      <c r="H215" s="371"/>
      <c r="I215" s="371"/>
      <c r="J215" s="371"/>
      <c r="K215" s="372"/>
      <c r="AP215" s="191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3"/>
    </row>
    <row r="216" spans="1:52" ht="12.75">
      <c r="A216" s="370"/>
      <c r="B216" s="371"/>
      <c r="C216" s="371"/>
      <c r="D216" s="371"/>
      <c r="E216" s="371"/>
      <c r="F216" s="371"/>
      <c r="G216" s="371"/>
      <c r="H216" s="371"/>
      <c r="I216" s="371"/>
      <c r="J216" s="371"/>
      <c r="K216" s="372"/>
      <c r="AP216" s="191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3"/>
    </row>
    <row r="217" spans="1:52" ht="12.75">
      <c r="A217" s="370"/>
      <c r="B217" s="371"/>
      <c r="C217" s="371"/>
      <c r="D217" s="371"/>
      <c r="E217" s="371"/>
      <c r="F217" s="371"/>
      <c r="G217" s="371"/>
      <c r="H217" s="371"/>
      <c r="I217" s="371"/>
      <c r="J217" s="371"/>
      <c r="K217" s="372"/>
      <c r="AP217" s="191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3"/>
    </row>
    <row r="218" spans="1:52" ht="12.75">
      <c r="A218" s="370"/>
      <c r="B218" s="371"/>
      <c r="C218" s="371"/>
      <c r="D218" s="371"/>
      <c r="E218" s="371"/>
      <c r="F218" s="371"/>
      <c r="G218" s="371"/>
      <c r="H218" s="371"/>
      <c r="I218" s="371"/>
      <c r="J218" s="371"/>
      <c r="K218" s="372"/>
      <c r="AP218" s="191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3"/>
    </row>
    <row r="219" spans="1:52" ht="12.75">
      <c r="A219" s="370"/>
      <c r="B219" s="371"/>
      <c r="C219" s="371"/>
      <c r="D219" s="371"/>
      <c r="E219" s="371"/>
      <c r="F219" s="371"/>
      <c r="G219" s="371"/>
      <c r="H219" s="371"/>
      <c r="I219" s="371"/>
      <c r="J219" s="371"/>
      <c r="K219" s="372"/>
      <c r="AP219" s="191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3"/>
    </row>
    <row r="220" spans="1:52" ht="12.75">
      <c r="A220" s="370"/>
      <c r="B220" s="371"/>
      <c r="C220" s="371"/>
      <c r="D220" s="371"/>
      <c r="E220" s="371"/>
      <c r="F220" s="371"/>
      <c r="G220" s="371"/>
      <c r="H220" s="371"/>
      <c r="I220" s="371"/>
      <c r="J220" s="371"/>
      <c r="K220" s="372"/>
      <c r="AP220" s="191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3"/>
    </row>
    <row r="221" spans="1:52" ht="12.75">
      <c r="A221" s="375"/>
      <c r="B221" s="376"/>
      <c r="C221" s="376"/>
      <c r="D221" s="376"/>
      <c r="E221" s="376"/>
      <c r="F221" s="376"/>
      <c r="G221" s="376"/>
      <c r="H221" s="376"/>
      <c r="I221" s="376"/>
      <c r="J221" s="376"/>
      <c r="K221" s="377"/>
      <c r="AP221" s="194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6"/>
    </row>
  </sheetData>
  <mergeCells count="115">
    <mergeCell ref="A220:K220"/>
    <mergeCell ref="A221:K221"/>
    <mergeCell ref="A218:K218"/>
    <mergeCell ref="A219:K219"/>
    <mergeCell ref="A216:K216"/>
    <mergeCell ref="A217:K217"/>
    <mergeCell ref="A214:K214"/>
    <mergeCell ref="A215:K215"/>
    <mergeCell ref="A212:K212"/>
    <mergeCell ref="A213:K213"/>
    <mergeCell ref="A210:K210"/>
    <mergeCell ref="A211:K211"/>
    <mergeCell ref="A208:K208"/>
    <mergeCell ref="A209:K209"/>
    <mergeCell ref="A206:K206"/>
    <mergeCell ref="A207:K207"/>
    <mergeCell ref="A204:K204"/>
    <mergeCell ref="A205:K205"/>
    <mergeCell ref="A202:K202"/>
    <mergeCell ref="A203:K203"/>
    <mergeCell ref="A200:K200"/>
    <mergeCell ref="A201:K201"/>
    <mergeCell ref="A198:K198"/>
    <mergeCell ref="A199:K199"/>
    <mergeCell ref="A196:K196"/>
    <mergeCell ref="A197:K197"/>
    <mergeCell ref="A194:K194"/>
    <mergeCell ref="A195:K195"/>
    <mergeCell ref="A192:K192"/>
    <mergeCell ref="A193:K193"/>
    <mergeCell ref="A190:K190"/>
    <mergeCell ref="A191:K191"/>
    <mergeCell ref="A188:K188"/>
    <mergeCell ref="A189:K189"/>
    <mergeCell ref="A186:K186"/>
    <mergeCell ref="A187:K187"/>
    <mergeCell ref="A184:K184"/>
    <mergeCell ref="A185:K185"/>
    <mergeCell ref="A182:K182"/>
    <mergeCell ref="A183:K183"/>
    <mergeCell ref="A180:K180"/>
    <mergeCell ref="A181:K181"/>
    <mergeCell ref="A178:K178"/>
    <mergeCell ref="A179:K179"/>
    <mergeCell ref="A176:K176"/>
    <mergeCell ref="AP176:AZ176"/>
    <mergeCell ref="A177:K177"/>
    <mergeCell ref="AP177:AZ177"/>
    <mergeCell ref="A135:B135"/>
    <mergeCell ref="A155:B155"/>
    <mergeCell ref="A106:B106"/>
    <mergeCell ref="A113:F113"/>
    <mergeCell ref="A133:B133"/>
    <mergeCell ref="AM101:AM102"/>
    <mergeCell ref="Z102:AA102"/>
    <mergeCell ref="A104:B104"/>
    <mergeCell ref="AI101:AI102"/>
    <mergeCell ref="AJ101:AJ102"/>
    <mergeCell ref="AK101:AK102"/>
    <mergeCell ref="AL101:AL102"/>
    <mergeCell ref="AD101:AD102"/>
    <mergeCell ref="AE101:AE102"/>
    <mergeCell ref="AG101:AG102"/>
    <mergeCell ref="AH101:AH102"/>
    <mergeCell ref="Y101:Y102"/>
    <mergeCell ref="Z101:AB101"/>
    <mergeCell ref="T101:T102"/>
    <mergeCell ref="U101:U102"/>
    <mergeCell ref="V101:V102"/>
    <mergeCell ref="W101:W102"/>
    <mergeCell ref="O101:O102"/>
    <mergeCell ref="Q101:Q102"/>
    <mergeCell ref="R101:R102"/>
    <mergeCell ref="S101:S102"/>
    <mergeCell ref="K101:K102"/>
    <mergeCell ref="L101:L102"/>
    <mergeCell ref="M101:M102"/>
    <mergeCell ref="N101:N102"/>
    <mergeCell ref="A87:B87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A57:B57"/>
    <mergeCell ref="H68:J68"/>
    <mergeCell ref="A70:B70"/>
    <mergeCell ref="A19:B19"/>
    <mergeCell ref="A31:B31"/>
    <mergeCell ref="A10:B10"/>
    <mergeCell ref="A11:B11"/>
    <mergeCell ref="L8:M9"/>
    <mergeCell ref="N8:N9"/>
    <mergeCell ref="F6:F8"/>
    <mergeCell ref="G6:G8"/>
    <mergeCell ref="K6:K9"/>
    <mergeCell ref="L6:N7"/>
    <mergeCell ref="A6:B6"/>
    <mergeCell ref="C6:C8"/>
    <mergeCell ref="D6:D8"/>
    <mergeCell ref="E6:E8"/>
    <mergeCell ref="A4:B4"/>
    <mergeCell ref="E4:F4"/>
    <mergeCell ref="I4:J4"/>
    <mergeCell ref="K4:L4"/>
    <mergeCell ref="A3:B3"/>
    <mergeCell ref="E3:F3"/>
    <mergeCell ref="H3:L3"/>
    <mergeCell ref="K2:L2"/>
    <mergeCell ref="A2:B2"/>
    <mergeCell ref="E2:H2"/>
    <mergeCell ref="I2:J2"/>
  </mergeCells>
  <conditionalFormatting sqref="S172 S107:S110 Q114:S117 Q121:R121 Q123:R123 Q138:R138 Q140:R140 Q125:R125 Q146:R146 T147:W150 Q163:R163 Q165:R165 N107:O111 N114:O117 N127:O127 N125:O125 N129:O129 N131:O131 N119:O123 N137:O142 N145:O153 N163:O163 N157:O161 N165:O165 N174:O174 N172:O172">
    <cfRule type="expression" priority="1" dxfId="0" stopIfTrue="1">
      <formula>AND(LEFT(AD107,1)="E",(N107)="")</formula>
    </cfRule>
    <cfRule type="expression" priority="2" dxfId="1" stopIfTrue="1">
      <formula>LEFT(AD107,1)="E"</formula>
    </cfRule>
    <cfRule type="expression" priority="3" dxfId="2" stopIfTrue="1">
      <formula>LEFT(AD107,1)="W"</formula>
    </cfRule>
  </conditionalFormatting>
  <conditionalFormatting sqref="C12:G17 C21:G29 C72:G81 C55:G55 C91:G94 C33:G53 C83:G83 C85:G85 C97:G99 C114:I117 K107:M111 K114:M117 C59:G68 K127:M127 G127:I127 G131:I131 K125:M125 G129:I129 K129:M129 C137:I142 K131:M131 C145:I153 C125:I125 K119:M123 K137:M142 C158:G161 G157 H157:I161 K145:M153 K163:M163 C163:I163 C165:I165 G170:I170 G167:I168 K157:M161 C172:I172 G174:I174 K165:M165 K174:M174 K172:M172 C119:I123">
    <cfRule type="expression" priority="4" dxfId="0" stopIfTrue="1">
      <formula>AND(LEFT(#REF!,1)="E",(C12)="")</formula>
    </cfRule>
    <cfRule type="expression" priority="5" dxfId="1" stopIfTrue="1">
      <formula>LEFT(#REF!,1)="E"</formula>
    </cfRule>
    <cfRule type="expression" priority="6" dxfId="2" stopIfTrue="1">
      <formula>LEFT(#REF!,1)="W"</formula>
    </cfRule>
  </conditionalFormatting>
  <conditionalFormatting sqref="H3:L3 E3:F4">
    <cfRule type="expression" priority="7" dxfId="1" stopIfTrue="1">
      <formula>LEFT(#REF!,1)="E"</formula>
    </cfRule>
  </conditionalFormatting>
  <conditionalFormatting sqref="G3 D3:D4">
    <cfRule type="expression" priority="8" dxfId="1" stopIfTrue="1">
      <formula>LEFT(#REF!,1)="E"</formula>
    </cfRule>
  </conditionalFormatting>
  <conditionalFormatting sqref="G4">
    <cfRule type="expression" priority="9" dxfId="2" stopIfTrue="1">
      <formula>LEFT(#REF!,1)="W"</formula>
    </cfRule>
  </conditionalFormatting>
  <conditionalFormatting sqref="H4 K4:L4">
    <cfRule type="expression" priority="10" dxfId="2" stopIfTrue="1">
      <formula>LEFT(#REF!,1)="W"</formula>
    </cfRule>
  </conditionalFormatting>
  <conditionalFormatting sqref="I4:J4">
    <cfRule type="expression" priority="11" dxfId="2" stopIfTrue="1">
      <formula>LEFT(#REF!,1)="W"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C10" sqref="C10:L10"/>
    </sheetView>
  </sheetViews>
  <sheetFormatPr defaultColWidth="9.140625" defaultRowHeight="12.75"/>
  <cols>
    <col min="1" max="1" width="12.140625" style="1" customWidth="1"/>
    <col min="2" max="2" width="19.140625" style="1" customWidth="1"/>
    <col min="3" max="8" width="9.140625" style="1" customWidth="1"/>
    <col min="9" max="9" width="10.7109375" style="1" customWidth="1"/>
    <col min="10" max="11" width="7.28125" style="1" customWidth="1"/>
    <col min="12" max="12" width="10.8515625" style="1" customWidth="1"/>
    <col min="13" max="13" width="9.140625" style="1" customWidth="1"/>
    <col min="14" max="14" width="17.7109375" style="1" customWidth="1"/>
    <col min="15" max="16384" width="9.140625" style="1" customWidth="1"/>
  </cols>
  <sheetData>
    <row r="1" ht="13.5" customHeight="1"/>
    <row r="2" spans="1:13" ht="12.75">
      <c r="A2" s="379" t="s">
        <v>0</v>
      </c>
      <c r="B2" s="380"/>
      <c r="D2" s="6" t="s">
        <v>1</v>
      </c>
      <c r="E2" s="104" t="s">
        <v>2</v>
      </c>
      <c r="F2" s="105"/>
      <c r="G2" s="105"/>
      <c r="H2" s="105"/>
      <c r="I2" s="106"/>
      <c r="J2" s="7" t="s">
        <v>3</v>
      </c>
      <c r="K2" s="9"/>
      <c r="L2" s="7">
        <v>312</v>
      </c>
      <c r="M2" s="9"/>
    </row>
    <row r="3" spans="1:13" ht="12.75">
      <c r="A3" s="381" t="s">
        <v>4</v>
      </c>
      <c r="B3" s="382"/>
      <c r="D3" s="6"/>
      <c r="E3" s="383"/>
      <c r="F3" s="384"/>
      <c r="G3" s="385"/>
      <c r="H3" s="23"/>
      <c r="I3" s="386"/>
      <c r="J3" s="387"/>
      <c r="K3" s="387"/>
      <c r="L3" s="387"/>
      <c r="M3" s="388"/>
    </row>
    <row r="4" spans="1:13" ht="13.5" thickBot="1">
      <c r="A4" s="389" t="s">
        <v>322</v>
      </c>
      <c r="B4" s="390"/>
      <c r="D4" s="6"/>
      <c r="E4" s="391"/>
      <c r="F4" s="392"/>
      <c r="G4" s="393"/>
      <c r="H4" s="6"/>
      <c r="I4" s="36"/>
      <c r="J4" s="7"/>
      <c r="K4" s="9"/>
      <c r="L4" s="38"/>
      <c r="M4" s="22"/>
    </row>
    <row r="5" ht="13.5" thickBot="1"/>
    <row r="6" spans="1:12" s="260" customFormat="1" ht="37.5" customHeight="1" thickBot="1">
      <c r="A6" s="394" t="s">
        <v>323</v>
      </c>
      <c r="B6" s="395"/>
      <c r="C6" s="394" t="s">
        <v>324</v>
      </c>
      <c r="D6" s="395"/>
      <c r="E6" s="394" t="s">
        <v>325</v>
      </c>
      <c r="F6" s="395"/>
      <c r="G6" s="394" t="s">
        <v>326</v>
      </c>
      <c r="H6" s="395"/>
      <c r="I6" s="394" t="s">
        <v>327</v>
      </c>
      <c r="J6" s="395"/>
      <c r="K6" s="394" t="s">
        <v>328</v>
      </c>
      <c r="L6" s="395"/>
    </row>
    <row r="7" spans="1:12" s="260" customFormat="1" ht="14.25" customHeight="1" thickBot="1">
      <c r="A7" s="396" t="s">
        <v>329</v>
      </c>
      <c r="B7" s="397"/>
      <c r="C7" s="398"/>
      <c r="D7" s="398"/>
      <c r="E7" s="398"/>
      <c r="F7" s="398"/>
      <c r="G7" s="398"/>
      <c r="H7" s="398"/>
      <c r="I7" s="398"/>
      <c r="J7" s="398"/>
      <c r="K7" s="398"/>
      <c r="L7" s="398"/>
    </row>
    <row r="8" spans="1:12" s="260" customFormat="1" ht="14.25" customHeight="1" thickBot="1">
      <c r="A8" s="399" t="s">
        <v>330</v>
      </c>
      <c r="B8" s="400"/>
      <c r="C8" s="401">
        <v>246048</v>
      </c>
      <c r="D8" s="402"/>
      <c r="E8" s="401">
        <v>0</v>
      </c>
      <c r="F8" s="402"/>
      <c r="G8" s="401">
        <v>0</v>
      </c>
      <c r="H8" s="402"/>
      <c r="I8" s="398"/>
      <c r="J8" s="398"/>
      <c r="K8" s="403">
        <f>SUM(C8:H8)</f>
        <v>246048</v>
      </c>
      <c r="L8" s="404"/>
    </row>
    <row r="9" spans="1:12" s="260" customFormat="1" ht="14.25" customHeight="1" thickBot="1">
      <c r="A9" s="399" t="s">
        <v>331</v>
      </c>
      <c r="B9" s="400"/>
      <c r="C9" s="401">
        <v>0</v>
      </c>
      <c r="D9" s="402"/>
      <c r="E9" s="401">
        <v>0</v>
      </c>
      <c r="F9" s="402"/>
      <c r="G9" s="401">
        <v>0</v>
      </c>
      <c r="H9" s="402"/>
      <c r="I9" s="398"/>
      <c r="J9" s="398"/>
      <c r="K9" s="403">
        <f>SUM(C9:H9)</f>
        <v>0</v>
      </c>
      <c r="L9" s="404"/>
    </row>
    <row r="10" spans="1:12" s="260" customFormat="1" ht="14.25" customHeight="1" thickBot="1">
      <c r="A10" s="396" t="s">
        <v>332</v>
      </c>
      <c r="B10" s="397"/>
      <c r="C10" s="398"/>
      <c r="D10" s="398"/>
      <c r="E10" s="398"/>
      <c r="F10" s="398"/>
      <c r="G10" s="398"/>
      <c r="H10" s="398"/>
      <c r="I10" s="398"/>
      <c r="J10" s="398"/>
      <c r="K10" s="398"/>
      <c r="L10" s="398"/>
    </row>
    <row r="11" spans="1:12" s="260" customFormat="1" ht="14.25" customHeight="1" thickBot="1">
      <c r="A11" s="399" t="s">
        <v>330</v>
      </c>
      <c r="B11" s="400"/>
      <c r="C11" s="401">
        <f>742164-185460</f>
        <v>556704</v>
      </c>
      <c r="D11" s="402"/>
      <c r="E11" s="401">
        <v>0</v>
      </c>
      <c r="F11" s="402"/>
      <c r="G11" s="401">
        <v>0</v>
      </c>
      <c r="H11" s="402"/>
      <c r="I11" s="398"/>
      <c r="J11" s="398"/>
      <c r="K11" s="403">
        <f>SUM(C11:H11)</f>
        <v>556704</v>
      </c>
      <c r="L11" s="404"/>
    </row>
    <row r="12" spans="1:12" s="260" customFormat="1" ht="14.25" customHeight="1" thickBot="1">
      <c r="A12" s="399" t="s">
        <v>331</v>
      </c>
      <c r="B12" s="400"/>
      <c r="C12" s="401">
        <v>459098</v>
      </c>
      <c r="D12" s="402"/>
      <c r="E12" s="405">
        <v>0</v>
      </c>
      <c r="F12" s="402"/>
      <c r="G12" s="405">
        <v>0</v>
      </c>
      <c r="H12" s="402"/>
      <c r="I12" s="398"/>
      <c r="J12" s="398"/>
      <c r="K12" s="403">
        <f>SUM(C12:H12)</f>
        <v>459098</v>
      </c>
      <c r="L12" s="404"/>
    </row>
    <row r="13" spans="1:12" s="260" customFormat="1" ht="14.25" customHeight="1" thickBot="1">
      <c r="A13" s="396" t="s">
        <v>333</v>
      </c>
      <c r="B13" s="397"/>
      <c r="C13" s="406"/>
      <c r="D13" s="407"/>
      <c r="E13" s="407"/>
      <c r="F13" s="407"/>
      <c r="G13" s="407"/>
      <c r="H13" s="407"/>
      <c r="I13" s="407"/>
      <c r="J13" s="407"/>
      <c r="K13" s="407"/>
      <c r="L13" s="408"/>
    </row>
    <row r="14" spans="1:12" s="260" customFormat="1" ht="14.25" customHeight="1" thickBot="1">
      <c r="A14" s="399" t="s">
        <v>330</v>
      </c>
      <c r="B14" s="400"/>
      <c r="C14" s="401">
        <v>74713</v>
      </c>
      <c r="D14" s="402"/>
      <c r="E14" s="401">
        <v>0</v>
      </c>
      <c r="F14" s="402"/>
      <c r="G14" s="401">
        <v>0</v>
      </c>
      <c r="H14" s="402"/>
      <c r="I14" s="398"/>
      <c r="J14" s="398"/>
      <c r="K14" s="403">
        <f>SUM(C14:H14)</f>
        <v>74713</v>
      </c>
      <c r="L14" s="404"/>
    </row>
    <row r="15" spans="1:12" s="260" customFormat="1" ht="14.25" customHeight="1" thickBot="1">
      <c r="A15" s="399" t="s">
        <v>331</v>
      </c>
      <c r="B15" s="400"/>
      <c r="C15" s="401">
        <v>196387</v>
      </c>
      <c r="D15" s="402"/>
      <c r="E15" s="401">
        <v>0</v>
      </c>
      <c r="F15" s="402"/>
      <c r="G15" s="401">
        <v>0</v>
      </c>
      <c r="H15" s="402"/>
      <c r="I15" s="398"/>
      <c r="J15" s="398"/>
      <c r="K15" s="403">
        <f>SUM(C15:H15)</f>
        <v>196387</v>
      </c>
      <c r="L15" s="404"/>
    </row>
    <row r="16" spans="1:12" s="260" customFormat="1" ht="14.25" customHeight="1" thickBot="1">
      <c r="A16" s="409" t="s">
        <v>334</v>
      </c>
      <c r="B16" s="410"/>
      <c r="C16" s="401">
        <v>59269</v>
      </c>
      <c r="D16" s="402"/>
      <c r="E16" s="401">
        <v>0</v>
      </c>
      <c r="F16" s="402"/>
      <c r="G16" s="401">
        <v>0</v>
      </c>
      <c r="H16" s="402"/>
      <c r="I16" s="406"/>
      <c r="J16" s="408"/>
      <c r="K16" s="403">
        <f>SUM(C16:H16)</f>
        <v>59269</v>
      </c>
      <c r="L16" s="404"/>
    </row>
    <row r="17" spans="1:12" s="260" customFormat="1" ht="14.25" customHeight="1" thickBot="1">
      <c r="A17" s="409" t="s">
        <v>335</v>
      </c>
      <c r="B17" s="410"/>
      <c r="C17" s="411">
        <v>3871711</v>
      </c>
      <c r="D17" s="412"/>
      <c r="E17" s="411">
        <v>0</v>
      </c>
      <c r="F17" s="412"/>
      <c r="G17" s="411">
        <v>0</v>
      </c>
      <c r="H17" s="412"/>
      <c r="I17" s="413"/>
      <c r="J17" s="413"/>
      <c r="K17" s="414">
        <f>SUM(C17:H17)</f>
        <v>3871711</v>
      </c>
      <c r="L17" s="415"/>
    </row>
    <row r="18" spans="1:12" s="260" customFormat="1" ht="30" customHeight="1" thickBot="1" thickTop="1">
      <c r="A18" s="416" t="s">
        <v>336</v>
      </c>
      <c r="B18" s="417"/>
      <c r="C18" s="418">
        <f>SUM(C8:D17)</f>
        <v>5463930</v>
      </c>
      <c r="D18" s="419"/>
      <c r="E18" s="418">
        <f>SUM(E8:F17)</f>
        <v>0</v>
      </c>
      <c r="F18" s="419"/>
      <c r="G18" s="418">
        <f>SUM(G8:H17)</f>
        <v>0</v>
      </c>
      <c r="H18" s="419"/>
      <c r="I18" s="420">
        <v>0</v>
      </c>
      <c r="J18" s="421"/>
      <c r="K18" s="422">
        <f>SUM(C18:J18)</f>
        <v>5463930</v>
      </c>
      <c r="L18" s="423"/>
    </row>
    <row r="19" spans="1:12" s="260" customFormat="1" ht="30" customHeight="1" thickBot="1">
      <c r="A19" s="424" t="s">
        <v>337</v>
      </c>
      <c r="B19" s="425"/>
      <c r="C19" s="405">
        <v>0</v>
      </c>
      <c r="D19" s="402"/>
      <c r="E19" s="405">
        <v>0</v>
      </c>
      <c r="F19" s="402"/>
      <c r="G19" s="405">
        <v>0</v>
      </c>
      <c r="H19" s="402"/>
      <c r="I19" s="405">
        <v>0</v>
      </c>
      <c r="J19" s="402"/>
      <c r="K19" s="426">
        <f>SUM(C19:J19)</f>
        <v>0</v>
      </c>
      <c r="L19" s="427"/>
    </row>
    <row r="20" spans="1:12" s="260" customFormat="1" ht="15.75" customHeight="1" thickBot="1" thickTop="1">
      <c r="A20" s="428" t="s">
        <v>338</v>
      </c>
      <c r="B20" s="429"/>
      <c r="C20" s="430">
        <f>SUM(C18:D19)</f>
        <v>5463930</v>
      </c>
      <c r="D20" s="431"/>
      <c r="E20" s="430">
        <f>SUM(E18:F19)</f>
        <v>0</v>
      </c>
      <c r="F20" s="431"/>
      <c r="G20" s="430">
        <f>SUM(G18:H19)</f>
        <v>0</v>
      </c>
      <c r="H20" s="431"/>
      <c r="I20" s="430">
        <f>SUM(I18:J19)</f>
        <v>0</v>
      </c>
      <c r="J20" s="431"/>
      <c r="K20" s="432">
        <f>SUM(C20:J20)</f>
        <v>5463930</v>
      </c>
      <c r="L20" s="433"/>
    </row>
    <row r="21" ht="13.5" thickTop="1"/>
  </sheetData>
  <mergeCells count="89">
    <mergeCell ref="I20:J20"/>
    <mergeCell ref="K20:L20"/>
    <mergeCell ref="A20:B20"/>
    <mergeCell ref="C20:D20"/>
    <mergeCell ref="E20:F20"/>
    <mergeCell ref="G20:H20"/>
    <mergeCell ref="I19:J19"/>
    <mergeCell ref="K19:L19"/>
    <mergeCell ref="A19:B19"/>
    <mergeCell ref="C19:D19"/>
    <mergeCell ref="E19:F19"/>
    <mergeCell ref="G19:H19"/>
    <mergeCell ref="I18:J18"/>
    <mergeCell ref="K18:L18"/>
    <mergeCell ref="A18:B18"/>
    <mergeCell ref="C18:D18"/>
    <mergeCell ref="E18:F18"/>
    <mergeCell ref="G18:H18"/>
    <mergeCell ref="I17:J17"/>
    <mergeCell ref="K17:L17"/>
    <mergeCell ref="A17:B17"/>
    <mergeCell ref="C17:D17"/>
    <mergeCell ref="E17:F17"/>
    <mergeCell ref="G17:H17"/>
    <mergeCell ref="I16:J16"/>
    <mergeCell ref="K16:L16"/>
    <mergeCell ref="A16:B16"/>
    <mergeCell ref="C16:D16"/>
    <mergeCell ref="E16:F16"/>
    <mergeCell ref="G16:H16"/>
    <mergeCell ref="I15:J15"/>
    <mergeCell ref="K15:L15"/>
    <mergeCell ref="A15:B15"/>
    <mergeCell ref="C15:D15"/>
    <mergeCell ref="E15:F15"/>
    <mergeCell ref="G15:H15"/>
    <mergeCell ref="I14:J14"/>
    <mergeCell ref="K14:L14"/>
    <mergeCell ref="A14:B14"/>
    <mergeCell ref="C14:D14"/>
    <mergeCell ref="E14:F14"/>
    <mergeCell ref="G14:H14"/>
    <mergeCell ref="A13:B13"/>
    <mergeCell ref="C13:L13"/>
    <mergeCell ref="I12:J12"/>
    <mergeCell ref="K12:L12"/>
    <mergeCell ref="A12:B12"/>
    <mergeCell ref="C12:D12"/>
    <mergeCell ref="E12:F12"/>
    <mergeCell ref="G12:H12"/>
    <mergeCell ref="I11:J11"/>
    <mergeCell ref="K11:L11"/>
    <mergeCell ref="A11:B11"/>
    <mergeCell ref="C11:D11"/>
    <mergeCell ref="E11:F11"/>
    <mergeCell ref="G11:H11"/>
    <mergeCell ref="A10:B10"/>
    <mergeCell ref="C10:L10"/>
    <mergeCell ref="I9:J9"/>
    <mergeCell ref="K9:L9"/>
    <mergeCell ref="A9:B9"/>
    <mergeCell ref="C9:D9"/>
    <mergeCell ref="E9:F9"/>
    <mergeCell ref="G9:H9"/>
    <mergeCell ref="I8:J8"/>
    <mergeCell ref="K8:L8"/>
    <mergeCell ref="A8:B8"/>
    <mergeCell ref="C8:D8"/>
    <mergeCell ref="E8:F8"/>
    <mergeCell ref="G8:H8"/>
    <mergeCell ref="A7:B7"/>
    <mergeCell ref="C7:L7"/>
    <mergeCell ref="I6:J6"/>
    <mergeCell ref="K6:L6"/>
    <mergeCell ref="A6:B6"/>
    <mergeCell ref="C6:D6"/>
    <mergeCell ref="E6:F6"/>
    <mergeCell ref="G6:H6"/>
    <mergeCell ref="A4:B4"/>
    <mergeCell ref="E4:G4"/>
    <mergeCell ref="J4:K4"/>
    <mergeCell ref="L4:M4"/>
    <mergeCell ref="A3:B3"/>
    <mergeCell ref="E3:G3"/>
    <mergeCell ref="I3:M3"/>
    <mergeCell ref="L2:M2"/>
    <mergeCell ref="A2:B2"/>
    <mergeCell ref="E2:I2"/>
    <mergeCell ref="J2:K2"/>
  </mergeCells>
  <conditionalFormatting sqref="C8:H9 C11:H12 C14:H17 I18:L18 C19:L19">
    <cfRule type="expression" priority="1" dxfId="0" stopIfTrue="1">
      <formula>AND(LEFT(#REF!,1)="E",(C8)="")</formula>
    </cfRule>
    <cfRule type="expression" priority="2" dxfId="1" stopIfTrue="1">
      <formula>LEFT(#REF!,1)="E"</formula>
    </cfRule>
    <cfRule type="expression" priority="3" dxfId="2" stopIfTrue="1">
      <formula>LEFT(#REF!,1)="W"</formula>
    </cfRule>
  </conditionalFormatting>
  <conditionalFormatting sqref="E3:G4 I3:M3">
    <cfRule type="expression" priority="4" dxfId="1" stopIfTrue="1">
      <formula>LEFT(#REF!,1)="E"</formula>
    </cfRule>
  </conditionalFormatting>
  <conditionalFormatting sqref="D3:D4 H3">
    <cfRule type="expression" priority="5" dxfId="1" stopIfTrue="1">
      <formula>LEFT(#REF!,1)="E"</formula>
    </cfRule>
  </conditionalFormatting>
  <conditionalFormatting sqref="I4 L4:M4">
    <cfRule type="expression" priority="6" dxfId="2" stopIfTrue="1">
      <formula>LEFT(#REF!,1)="W"</formula>
    </cfRule>
  </conditionalFormatting>
  <conditionalFormatting sqref="H4">
    <cfRule type="expression" priority="7" dxfId="2" stopIfTrue="1">
      <formula>LEFT(#REF!,1)="W"</formula>
    </cfRule>
  </conditionalFormatting>
  <conditionalFormatting sqref="J4:K4">
    <cfRule type="expression" priority="8" dxfId="2" stopIfTrue="1">
      <formula>LEFT(#REF!,1)="W"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7"/>
  <sheetViews>
    <sheetView workbookViewId="0" topLeftCell="A1">
      <selection activeCell="F25" sqref="F25"/>
    </sheetView>
  </sheetViews>
  <sheetFormatPr defaultColWidth="9.140625" defaultRowHeight="12.75"/>
  <cols>
    <col min="1" max="1" width="7.57421875" style="1" customWidth="1"/>
    <col min="2" max="2" width="27.7109375" style="1" customWidth="1"/>
    <col min="3" max="3" width="8.421875" style="1" customWidth="1"/>
    <col min="4" max="5" width="10.7109375" style="1" customWidth="1"/>
    <col min="6" max="6" width="14.00390625" style="1" customWidth="1"/>
    <col min="7" max="7" width="13.28125" style="1" customWidth="1"/>
    <col min="8" max="8" width="11.7109375" style="1" customWidth="1"/>
    <col min="9" max="9" width="11.57421875" style="1" customWidth="1"/>
    <col min="10" max="13" width="11.7109375" style="1" customWidth="1"/>
    <col min="14" max="14" width="11.57421875" style="1" customWidth="1"/>
    <col min="15" max="21" width="11.7109375" style="1" customWidth="1"/>
    <col min="22" max="23" width="9.140625" style="1" customWidth="1"/>
    <col min="24" max="24" width="8.57421875" style="1" hidden="1" customWidth="1"/>
    <col min="25" max="25" width="9.140625" style="1" customWidth="1"/>
    <col min="26" max="36" width="10.28125" style="1" customWidth="1"/>
    <col min="37" max="16384" width="9.140625" style="1" customWidth="1"/>
  </cols>
  <sheetData>
    <row r="1" spans="1:24" ht="13.5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X1" s="378">
        <f>IF(ISERROR(SUM(X3:X120)),1,SUM(X3:X120))</f>
        <v>1</v>
      </c>
    </row>
    <row r="2" spans="2:24" ht="12.75">
      <c r="B2" s="435" t="s">
        <v>0</v>
      </c>
      <c r="C2" s="436"/>
      <c r="D2" s="434"/>
      <c r="F2" s="6" t="s">
        <v>1</v>
      </c>
      <c r="G2" s="7" t="s">
        <v>2</v>
      </c>
      <c r="H2" s="8"/>
      <c r="I2" s="8"/>
      <c r="J2" s="8"/>
      <c r="K2" s="9"/>
      <c r="L2" s="104" t="s">
        <v>3</v>
      </c>
      <c r="M2" s="106"/>
      <c r="N2" s="7">
        <v>312</v>
      </c>
      <c r="O2" s="9"/>
      <c r="P2" s="45"/>
      <c r="Q2" s="45"/>
      <c r="R2" s="45"/>
      <c r="S2" s="45"/>
      <c r="T2" s="45"/>
      <c r="U2" s="45"/>
      <c r="X2" s="16"/>
    </row>
    <row r="3" spans="2:24" ht="12.75">
      <c r="B3" s="437" t="s">
        <v>4</v>
      </c>
      <c r="C3" s="438"/>
      <c r="D3" s="434"/>
      <c r="F3" s="6"/>
      <c r="G3" s="20"/>
      <c r="H3" s="21"/>
      <c r="I3" s="22"/>
      <c r="J3" s="23"/>
      <c r="K3" s="439"/>
      <c r="L3" s="34"/>
      <c r="M3" s="34"/>
      <c r="N3" s="34"/>
      <c r="O3" s="35"/>
      <c r="P3" s="440"/>
      <c r="Q3" s="440"/>
      <c r="R3" s="440"/>
      <c r="S3" s="440"/>
      <c r="T3" s="440"/>
      <c r="U3" s="440"/>
      <c r="X3" s="29" t="e">
        <f>IF(LEN(TRIM(#REF!&amp;#REF!))&gt;0,1,0)</f>
        <v>#REF!</v>
      </c>
    </row>
    <row r="4" spans="2:24" ht="13.5" thickBot="1">
      <c r="B4" s="441" t="s">
        <v>339</v>
      </c>
      <c r="C4" s="442"/>
      <c r="D4" s="434"/>
      <c r="F4" s="6"/>
      <c r="G4" s="33"/>
      <c r="H4" s="34"/>
      <c r="I4" s="35"/>
      <c r="J4" s="6"/>
      <c r="K4" s="36"/>
      <c r="L4" s="104"/>
      <c r="M4" s="106"/>
      <c r="N4" s="38"/>
      <c r="O4" s="22"/>
      <c r="P4" s="45"/>
      <c r="Q4" s="45"/>
      <c r="R4" s="45"/>
      <c r="S4" s="45"/>
      <c r="T4" s="45"/>
      <c r="U4" s="45"/>
      <c r="X4" s="29" t="e">
        <f>IF(LEN(TRIM(#REF!&amp;#REF!&amp;#REF!))&gt;0,1,0)</f>
        <v>#REF!</v>
      </c>
    </row>
    <row r="5" spans="1:24" ht="12.7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X5" s="50"/>
    </row>
    <row r="6" spans="1:24" ht="60" customHeight="1">
      <c r="A6" s="216" t="s">
        <v>340</v>
      </c>
      <c r="B6" s="238" t="s">
        <v>341</v>
      </c>
      <c r="C6" s="443" t="s">
        <v>342</v>
      </c>
      <c r="D6" s="291" t="s">
        <v>343</v>
      </c>
      <c r="E6" s="291" t="s">
        <v>344</v>
      </c>
      <c r="F6" s="291" t="s">
        <v>345</v>
      </c>
      <c r="G6" s="291" t="s">
        <v>346</v>
      </c>
      <c r="H6" s="291" t="s">
        <v>347</v>
      </c>
      <c r="I6" s="291" t="s">
        <v>348</v>
      </c>
      <c r="J6" s="291" t="s">
        <v>349</v>
      </c>
      <c r="K6" s="291" t="s">
        <v>350</v>
      </c>
      <c r="L6" s="291" t="s">
        <v>351</v>
      </c>
      <c r="M6" s="291" t="s">
        <v>352</v>
      </c>
      <c r="N6" s="291" t="s">
        <v>353</v>
      </c>
      <c r="O6" s="444" t="s">
        <v>354</v>
      </c>
      <c r="P6" s="291" t="s">
        <v>355</v>
      </c>
      <c r="Q6" s="291" t="s">
        <v>356</v>
      </c>
      <c r="R6" s="291" t="s">
        <v>357</v>
      </c>
      <c r="S6" s="291" t="s">
        <v>358</v>
      </c>
      <c r="T6" s="291" t="s">
        <v>359</v>
      </c>
      <c r="U6" s="291" t="s">
        <v>360</v>
      </c>
      <c r="X6" s="51"/>
    </row>
    <row r="7" spans="1:24" ht="60" customHeight="1">
      <c r="A7" s="223"/>
      <c r="B7" s="445"/>
      <c r="C7" s="21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7"/>
      <c r="P7" s="446"/>
      <c r="Q7" s="446"/>
      <c r="R7" s="446"/>
      <c r="S7" s="446"/>
      <c r="T7" s="448"/>
      <c r="U7" s="446"/>
      <c r="X7" s="51"/>
    </row>
    <row r="8" spans="1:24" ht="12.75">
      <c r="A8" s="233"/>
      <c r="C8" s="234" t="s">
        <v>361</v>
      </c>
      <c r="D8" s="234" t="s">
        <v>167</v>
      </c>
      <c r="E8" s="234" t="s">
        <v>167</v>
      </c>
      <c r="F8" s="234" t="s">
        <v>167</v>
      </c>
      <c r="G8" s="234" t="s">
        <v>167</v>
      </c>
      <c r="H8" s="234" t="s">
        <v>167</v>
      </c>
      <c r="I8" s="234" t="s">
        <v>167</v>
      </c>
      <c r="J8" s="234" t="s">
        <v>167</v>
      </c>
      <c r="K8" s="234" t="s">
        <v>167</v>
      </c>
      <c r="L8" s="234" t="s">
        <v>167</v>
      </c>
      <c r="M8" s="234" t="s">
        <v>167</v>
      </c>
      <c r="N8" s="234" t="s">
        <v>167</v>
      </c>
      <c r="O8" s="234" t="s">
        <v>167</v>
      </c>
      <c r="P8" s="234" t="s">
        <v>167</v>
      </c>
      <c r="Q8" s="234" t="s">
        <v>167</v>
      </c>
      <c r="R8" s="234" t="s">
        <v>167</v>
      </c>
      <c r="S8" s="234" t="s">
        <v>167</v>
      </c>
      <c r="T8" s="234" t="s">
        <v>167</v>
      </c>
      <c r="U8" s="234" t="s">
        <v>167</v>
      </c>
      <c r="X8" s="51"/>
    </row>
    <row r="9" spans="2:24" ht="12.75">
      <c r="B9" s="449" t="s">
        <v>362</v>
      </c>
      <c r="C9" s="449" t="s">
        <v>363</v>
      </c>
      <c r="D9" s="450" t="s">
        <v>364</v>
      </c>
      <c r="E9" s="450" t="s">
        <v>365</v>
      </c>
      <c r="F9" s="450" t="s">
        <v>366</v>
      </c>
      <c r="G9" s="450" t="s">
        <v>367</v>
      </c>
      <c r="H9" s="450" t="s">
        <v>368</v>
      </c>
      <c r="I9" s="450" t="s">
        <v>369</v>
      </c>
      <c r="J9" s="450" t="s">
        <v>370</v>
      </c>
      <c r="K9" s="449" t="s">
        <v>371</v>
      </c>
      <c r="L9" s="449" t="s">
        <v>372</v>
      </c>
      <c r="M9" s="449" t="s">
        <v>373</v>
      </c>
      <c r="N9" s="449" t="s">
        <v>374</v>
      </c>
      <c r="O9" s="449" t="s">
        <v>375</v>
      </c>
      <c r="P9" s="449" t="s">
        <v>376</v>
      </c>
      <c r="Q9" s="449" t="s">
        <v>377</v>
      </c>
      <c r="R9" s="449" t="s">
        <v>378</v>
      </c>
      <c r="S9" s="449" t="s">
        <v>379</v>
      </c>
      <c r="T9" s="449" t="s">
        <v>380</v>
      </c>
      <c r="U9" s="449" t="s">
        <v>381</v>
      </c>
      <c r="X9" s="51"/>
    </row>
    <row r="10" spans="2:24" ht="13.5" thickBot="1">
      <c r="B10" s="261" t="s">
        <v>382</v>
      </c>
      <c r="X10" s="198"/>
    </row>
    <row r="11" spans="1:24" ht="13.5" thickBot="1">
      <c r="A11" s="451"/>
      <c r="B11" s="452" t="s">
        <v>383</v>
      </c>
      <c r="C11" s="453">
        <v>1000</v>
      </c>
      <c r="D11" s="282">
        <v>18873</v>
      </c>
      <c r="E11" s="282">
        <v>4254.45</v>
      </c>
      <c r="F11" s="282">
        <v>311080</v>
      </c>
      <c r="G11" s="282">
        <v>329635</v>
      </c>
      <c r="H11" s="282">
        <v>6402</v>
      </c>
      <c r="I11" s="282">
        <v>5874</v>
      </c>
      <c r="J11" s="283">
        <v>178526</v>
      </c>
      <c r="K11" s="282">
        <v>129360.57</v>
      </c>
      <c r="L11" s="454">
        <v>0</v>
      </c>
      <c r="M11" s="283">
        <v>0</v>
      </c>
      <c r="N11" s="283">
        <v>0</v>
      </c>
      <c r="O11" s="272">
        <f>SUM(D11:E11)+SUM(G11:N11)</f>
        <v>672925.02</v>
      </c>
      <c r="P11" s="282">
        <v>644824.25</v>
      </c>
      <c r="Q11" s="282">
        <v>0</v>
      </c>
      <c r="R11" s="282">
        <v>0</v>
      </c>
      <c r="S11" s="282">
        <v>0</v>
      </c>
      <c r="T11" s="282">
        <v>23846.32</v>
      </c>
      <c r="U11" s="282">
        <v>4254.45</v>
      </c>
      <c r="X11" s="29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2" ht="15" customHeight="1" thickBot="1">
      <c r="X12" s="16"/>
    </row>
    <row r="13" spans="2:24" ht="13.5" thickBot="1">
      <c r="B13" s="281" t="s">
        <v>384</v>
      </c>
      <c r="D13" s="252">
        <f aca="true" t="shared" si="0" ref="D13:K13">SUM(D11:D12)</f>
        <v>18873</v>
      </c>
      <c r="E13" s="252">
        <f t="shared" si="0"/>
        <v>4254.45</v>
      </c>
      <c r="F13" s="252">
        <f t="shared" si="0"/>
        <v>311080</v>
      </c>
      <c r="G13" s="252">
        <f t="shared" si="0"/>
        <v>329635</v>
      </c>
      <c r="H13" s="251">
        <f t="shared" si="0"/>
        <v>6402</v>
      </c>
      <c r="I13" s="252">
        <f t="shared" si="0"/>
        <v>5874</v>
      </c>
      <c r="J13" s="252">
        <f t="shared" si="0"/>
        <v>178526</v>
      </c>
      <c r="K13" s="252">
        <f t="shared" si="0"/>
        <v>129360.57</v>
      </c>
      <c r="L13" s="252">
        <f>SUM(L11:L12)</f>
        <v>0</v>
      </c>
      <c r="M13" s="252">
        <f>SUM(M11:M12)</f>
        <v>0</v>
      </c>
      <c r="N13" s="252">
        <f>SUM(N11:N12)</f>
        <v>0</v>
      </c>
      <c r="O13" s="252">
        <f>SUM(D13:E13)+SUM(G13:N13)</f>
        <v>672925.02</v>
      </c>
      <c r="P13" s="252">
        <f aca="true" t="shared" si="1" ref="P13:U13">SUM(P11:P12)</f>
        <v>644824.25</v>
      </c>
      <c r="Q13" s="252">
        <f t="shared" si="1"/>
        <v>0</v>
      </c>
      <c r="R13" s="252">
        <f t="shared" si="1"/>
        <v>0</v>
      </c>
      <c r="S13" s="252">
        <f t="shared" si="1"/>
        <v>0</v>
      </c>
      <c r="T13" s="252">
        <f t="shared" si="1"/>
        <v>23846.32</v>
      </c>
      <c r="U13" s="252">
        <f t="shared" si="1"/>
        <v>4254.45</v>
      </c>
      <c r="X13" s="29" t="e">
        <f>IF(LEN(TRIM(#REF!&amp;#REF!&amp;#REF!&amp;#REF!&amp;#REF!&amp;#REF!&amp;#REF!&amp;#REF!&amp;#REF!&amp;#REF!&amp;#REF!&amp;#REF!&amp;#REF!&amp;#REF!&amp;#REF!&amp;#REF!&amp;#REF!))&gt;0,1,0)</f>
        <v>#REF!</v>
      </c>
    </row>
    <row r="14" ht="12.75">
      <c r="X14" s="50"/>
    </row>
    <row r="15" spans="2:24" ht="13.5" thickBot="1">
      <c r="B15" s="261" t="s">
        <v>385</v>
      </c>
      <c r="X15" s="198"/>
    </row>
    <row r="16" spans="1:24" ht="13.5" thickBot="1">
      <c r="A16" s="451"/>
      <c r="B16" s="452" t="s">
        <v>386</v>
      </c>
      <c r="C16" s="453">
        <v>2000</v>
      </c>
      <c r="D16" s="282">
        <v>-98579.71</v>
      </c>
      <c r="E16" s="282">
        <v>0</v>
      </c>
      <c r="F16" s="282">
        <v>1746919.5534329154</v>
      </c>
      <c r="G16" s="282">
        <v>1806219.6</v>
      </c>
      <c r="H16" s="282">
        <v>94713</v>
      </c>
      <c r="I16" s="282">
        <v>150052.19</v>
      </c>
      <c r="J16" s="282">
        <v>177</v>
      </c>
      <c r="K16" s="282">
        <v>46593.48</v>
      </c>
      <c r="L16" s="282">
        <v>0</v>
      </c>
      <c r="M16" s="283">
        <v>0</v>
      </c>
      <c r="N16" s="283">
        <v>0</v>
      </c>
      <c r="O16" s="272">
        <f aca="true" t="shared" si="2" ref="O16:O79">SUM(D16:E16)+SUM(G16:N16)</f>
        <v>1999175.56</v>
      </c>
      <c r="P16" s="454">
        <v>2009919.77</v>
      </c>
      <c r="Q16" s="282">
        <v>0</v>
      </c>
      <c r="R16" s="282">
        <v>0</v>
      </c>
      <c r="S16" s="282">
        <v>0</v>
      </c>
      <c r="T16" s="282">
        <v>-10744.21</v>
      </c>
      <c r="U16" s="282">
        <v>0</v>
      </c>
      <c r="X16" s="29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7" spans="1:24" ht="13.5" thickBot="1">
      <c r="A17" s="451"/>
      <c r="B17" s="452" t="s">
        <v>387</v>
      </c>
      <c r="C17" s="453">
        <v>2003</v>
      </c>
      <c r="D17" s="282">
        <v>117058.03</v>
      </c>
      <c r="E17" s="282">
        <v>0</v>
      </c>
      <c r="F17" s="282">
        <v>780197.7879804565</v>
      </c>
      <c r="G17" s="282">
        <v>770310</v>
      </c>
      <c r="H17" s="282">
        <v>59320.68</v>
      </c>
      <c r="I17" s="282">
        <v>25411</v>
      </c>
      <c r="J17" s="282">
        <v>0</v>
      </c>
      <c r="K17" s="282">
        <v>22140.99</v>
      </c>
      <c r="L17" s="282">
        <v>0</v>
      </c>
      <c r="M17" s="283">
        <v>0</v>
      </c>
      <c r="N17" s="283">
        <v>0</v>
      </c>
      <c r="O17" s="272">
        <f t="shared" si="2"/>
        <v>994240.7000000001</v>
      </c>
      <c r="P17" s="454">
        <v>843575.91</v>
      </c>
      <c r="Q17" s="282">
        <v>0</v>
      </c>
      <c r="R17" s="282">
        <v>0</v>
      </c>
      <c r="S17" s="282">
        <v>0</v>
      </c>
      <c r="T17" s="282">
        <v>150664.79</v>
      </c>
      <c r="U17" s="282">
        <v>0</v>
      </c>
      <c r="X17" s="455"/>
    </row>
    <row r="18" spans="1:24" ht="13.5" thickBot="1">
      <c r="A18" s="451"/>
      <c r="B18" s="452" t="s">
        <v>388</v>
      </c>
      <c r="C18" s="453">
        <v>2004</v>
      </c>
      <c r="D18" s="282">
        <v>202710.86</v>
      </c>
      <c r="E18" s="282">
        <v>0</v>
      </c>
      <c r="F18" s="282">
        <v>1039223.4735958073</v>
      </c>
      <c r="G18" s="282">
        <v>1052715</v>
      </c>
      <c r="H18" s="282">
        <v>47690</v>
      </c>
      <c r="I18" s="282">
        <v>198844</v>
      </c>
      <c r="J18" s="282">
        <v>0</v>
      </c>
      <c r="K18" s="282">
        <v>72672.32</v>
      </c>
      <c r="L18" s="282">
        <v>0</v>
      </c>
      <c r="M18" s="283">
        <v>0</v>
      </c>
      <c r="N18" s="283">
        <v>0</v>
      </c>
      <c r="O18" s="272">
        <f t="shared" si="2"/>
        <v>1574632.1800000002</v>
      </c>
      <c r="P18" s="454">
        <v>1412430.98</v>
      </c>
      <c r="Q18" s="282">
        <v>0</v>
      </c>
      <c r="R18" s="282">
        <v>0</v>
      </c>
      <c r="S18" s="282">
        <v>79201</v>
      </c>
      <c r="T18" s="282">
        <v>83000.2</v>
      </c>
      <c r="U18" s="282">
        <v>0</v>
      </c>
      <c r="X18" s="455"/>
    </row>
    <row r="19" spans="1:24" ht="13.5" thickBot="1">
      <c r="A19" s="451"/>
      <c r="B19" s="452" t="s">
        <v>389</v>
      </c>
      <c r="C19" s="453">
        <v>2010</v>
      </c>
      <c r="D19" s="282">
        <v>256766</v>
      </c>
      <c r="E19" s="282">
        <v>0</v>
      </c>
      <c r="F19" s="282">
        <v>1633253.0175173609</v>
      </c>
      <c r="G19" s="282">
        <v>1659466.28</v>
      </c>
      <c r="H19" s="282">
        <v>89267.76</v>
      </c>
      <c r="I19" s="282">
        <v>104656</v>
      </c>
      <c r="J19" s="282">
        <v>0</v>
      </c>
      <c r="K19" s="282">
        <v>46139.04</v>
      </c>
      <c r="L19" s="282">
        <v>0</v>
      </c>
      <c r="M19" s="283">
        <v>11271.59</v>
      </c>
      <c r="N19" s="283">
        <v>0</v>
      </c>
      <c r="O19" s="272">
        <f t="shared" si="2"/>
        <v>2167566.67</v>
      </c>
      <c r="P19" s="454">
        <v>1937624.14</v>
      </c>
      <c r="Q19" s="282">
        <v>0</v>
      </c>
      <c r="R19" s="282">
        <v>0</v>
      </c>
      <c r="S19" s="282">
        <v>180000</v>
      </c>
      <c r="T19" s="282">
        <v>38670.94</v>
      </c>
      <c r="U19" s="282">
        <v>11271.59</v>
      </c>
      <c r="X19" s="455"/>
    </row>
    <row r="20" spans="1:24" ht="13.5" thickBot="1">
      <c r="A20" s="451"/>
      <c r="B20" s="452" t="s">
        <v>390</v>
      </c>
      <c r="C20" s="453">
        <v>2011</v>
      </c>
      <c r="D20" s="282">
        <v>62769.03</v>
      </c>
      <c r="E20" s="282">
        <v>0</v>
      </c>
      <c r="F20" s="282">
        <v>1081540.4734341637</v>
      </c>
      <c r="G20" s="282">
        <v>836812</v>
      </c>
      <c r="H20" s="282">
        <v>321195</v>
      </c>
      <c r="I20" s="282">
        <v>80137</v>
      </c>
      <c r="J20" s="282">
        <v>4480</v>
      </c>
      <c r="K20" s="282">
        <v>128536.25</v>
      </c>
      <c r="L20" s="282">
        <v>0</v>
      </c>
      <c r="M20" s="283">
        <v>0</v>
      </c>
      <c r="N20" s="283">
        <v>0</v>
      </c>
      <c r="O20" s="272">
        <f t="shared" si="2"/>
        <v>1433929.28</v>
      </c>
      <c r="P20" s="454">
        <v>1346847.9</v>
      </c>
      <c r="Q20" s="282">
        <v>0</v>
      </c>
      <c r="R20" s="282">
        <v>0</v>
      </c>
      <c r="S20" s="282">
        <v>0</v>
      </c>
      <c r="T20" s="282">
        <v>87081.38</v>
      </c>
      <c r="U20" s="282">
        <v>0</v>
      </c>
      <c r="X20" s="455"/>
    </row>
    <row r="21" spans="1:24" ht="13.5" thickBot="1">
      <c r="A21" s="451"/>
      <c r="B21" s="452" t="s">
        <v>391</v>
      </c>
      <c r="C21" s="453">
        <v>2012</v>
      </c>
      <c r="D21" s="282">
        <v>92279.89</v>
      </c>
      <c r="E21" s="282">
        <v>0</v>
      </c>
      <c r="F21" s="282">
        <v>862414.5380510272</v>
      </c>
      <c r="G21" s="282">
        <v>706315.61</v>
      </c>
      <c r="H21" s="282">
        <v>189094</v>
      </c>
      <c r="I21" s="282">
        <v>22126</v>
      </c>
      <c r="J21" s="282">
        <v>0</v>
      </c>
      <c r="K21" s="282">
        <v>144628.9</v>
      </c>
      <c r="L21" s="282">
        <v>0</v>
      </c>
      <c r="M21" s="283">
        <v>0</v>
      </c>
      <c r="N21" s="283">
        <v>0</v>
      </c>
      <c r="O21" s="272">
        <f t="shared" si="2"/>
        <v>1154444.4</v>
      </c>
      <c r="P21" s="454">
        <v>1052794.96</v>
      </c>
      <c r="Q21" s="282">
        <v>700</v>
      </c>
      <c r="R21" s="282">
        <v>0</v>
      </c>
      <c r="S21" s="282">
        <v>0</v>
      </c>
      <c r="T21" s="282">
        <v>101649.44</v>
      </c>
      <c r="U21" s="282">
        <v>-700</v>
      </c>
      <c r="X21" s="455"/>
    </row>
    <row r="22" spans="1:24" ht="13.5" thickBot="1">
      <c r="A22" s="451"/>
      <c r="B22" s="452" t="s">
        <v>392</v>
      </c>
      <c r="C22" s="453">
        <v>2016</v>
      </c>
      <c r="D22" s="282">
        <v>228326.22</v>
      </c>
      <c r="E22" s="282">
        <v>0</v>
      </c>
      <c r="F22" s="282">
        <v>1872559.224183915</v>
      </c>
      <c r="G22" s="282">
        <v>1552494</v>
      </c>
      <c r="H22" s="282">
        <v>411633.02</v>
      </c>
      <c r="I22" s="282">
        <v>48788</v>
      </c>
      <c r="J22" s="282">
        <v>0</v>
      </c>
      <c r="K22" s="282">
        <v>65032.02</v>
      </c>
      <c r="L22" s="282">
        <v>76868</v>
      </c>
      <c r="M22" s="283">
        <v>0</v>
      </c>
      <c r="N22" s="283">
        <v>0</v>
      </c>
      <c r="O22" s="272">
        <f t="shared" si="2"/>
        <v>2383141.2600000002</v>
      </c>
      <c r="P22" s="454">
        <v>2192238.98</v>
      </c>
      <c r="Q22" s="282">
        <v>0</v>
      </c>
      <c r="R22" s="282">
        <v>0</v>
      </c>
      <c r="S22" s="282">
        <v>114525.86</v>
      </c>
      <c r="T22" s="282">
        <v>76376.42</v>
      </c>
      <c r="U22" s="282">
        <v>0</v>
      </c>
      <c r="X22" s="455"/>
    </row>
    <row r="23" spans="1:24" ht="13.5" thickBot="1">
      <c r="A23" s="451"/>
      <c r="B23" s="452" t="s">
        <v>393</v>
      </c>
      <c r="C23" s="453">
        <v>2018</v>
      </c>
      <c r="D23" s="282">
        <v>83450.85</v>
      </c>
      <c r="E23" s="282">
        <v>0</v>
      </c>
      <c r="F23" s="282">
        <v>1080905.44334</v>
      </c>
      <c r="G23" s="282">
        <v>1123295.23</v>
      </c>
      <c r="H23" s="282">
        <v>37755</v>
      </c>
      <c r="I23" s="282">
        <v>46174</v>
      </c>
      <c r="J23" s="282">
        <v>0</v>
      </c>
      <c r="K23" s="282">
        <v>73198.05</v>
      </c>
      <c r="L23" s="282">
        <v>0</v>
      </c>
      <c r="M23" s="283">
        <v>0</v>
      </c>
      <c r="N23" s="283">
        <v>0</v>
      </c>
      <c r="O23" s="272">
        <f t="shared" si="2"/>
        <v>1363873.1300000001</v>
      </c>
      <c r="P23" s="454">
        <v>1308417.47</v>
      </c>
      <c r="Q23" s="282">
        <v>0</v>
      </c>
      <c r="R23" s="282">
        <v>0</v>
      </c>
      <c r="S23" s="282">
        <v>0</v>
      </c>
      <c r="T23" s="282">
        <v>55455.66</v>
      </c>
      <c r="U23" s="282">
        <v>0</v>
      </c>
      <c r="X23" s="455"/>
    </row>
    <row r="24" spans="1:24" ht="13.5" thickBot="1">
      <c r="A24" s="451"/>
      <c r="B24" s="452" t="s">
        <v>394</v>
      </c>
      <c r="C24" s="453">
        <v>2019</v>
      </c>
      <c r="D24" s="282">
        <v>155595.58</v>
      </c>
      <c r="E24" s="282">
        <v>0</v>
      </c>
      <c r="F24" s="282">
        <v>1070726.9769755886</v>
      </c>
      <c r="G24" s="282">
        <v>1107555</v>
      </c>
      <c r="H24" s="282">
        <v>25781</v>
      </c>
      <c r="I24" s="282">
        <v>30945</v>
      </c>
      <c r="J24" s="282">
        <v>0</v>
      </c>
      <c r="K24" s="282">
        <v>39357</v>
      </c>
      <c r="L24" s="282">
        <v>0</v>
      </c>
      <c r="M24" s="283">
        <v>0</v>
      </c>
      <c r="N24" s="283">
        <v>0</v>
      </c>
      <c r="O24" s="272">
        <f t="shared" si="2"/>
        <v>1359233.58</v>
      </c>
      <c r="P24" s="454">
        <v>1297709.5</v>
      </c>
      <c r="Q24" s="282">
        <v>0</v>
      </c>
      <c r="R24" s="282">
        <v>0</v>
      </c>
      <c r="S24" s="282">
        <v>12047.27</v>
      </c>
      <c r="T24" s="282">
        <v>49476.81</v>
      </c>
      <c r="U24" s="282">
        <v>0</v>
      </c>
      <c r="X24" s="455"/>
    </row>
    <row r="25" spans="1:24" ht="13.5" thickBot="1">
      <c r="A25" s="451"/>
      <c r="B25" s="452" t="s">
        <v>395</v>
      </c>
      <c r="C25" s="453">
        <v>2020</v>
      </c>
      <c r="D25" s="282">
        <v>-3427.76</v>
      </c>
      <c r="E25" s="282">
        <v>0</v>
      </c>
      <c r="F25" s="282">
        <v>1086471.9718781884</v>
      </c>
      <c r="G25" s="282">
        <v>1008265</v>
      </c>
      <c r="H25" s="282">
        <v>151140</v>
      </c>
      <c r="I25" s="282">
        <v>41345</v>
      </c>
      <c r="J25" s="282">
        <v>0</v>
      </c>
      <c r="K25" s="282">
        <v>32155.95</v>
      </c>
      <c r="L25" s="282">
        <v>3750</v>
      </c>
      <c r="M25" s="283">
        <v>0</v>
      </c>
      <c r="N25" s="283">
        <v>0</v>
      </c>
      <c r="O25" s="272">
        <f t="shared" si="2"/>
        <v>1233228.19</v>
      </c>
      <c r="P25" s="454">
        <v>1225126.36</v>
      </c>
      <c r="Q25" s="282">
        <v>0</v>
      </c>
      <c r="R25" s="282">
        <v>0</v>
      </c>
      <c r="S25" s="282">
        <v>0</v>
      </c>
      <c r="T25" s="282">
        <v>8101.83</v>
      </c>
      <c r="U25" s="282">
        <v>0</v>
      </c>
      <c r="X25" s="455"/>
    </row>
    <row r="26" spans="1:24" ht="13.5" thickBot="1">
      <c r="A26" s="451"/>
      <c r="B26" s="452" t="s">
        <v>396</v>
      </c>
      <c r="C26" s="453">
        <v>2023</v>
      </c>
      <c r="D26" s="282">
        <v>115266.12</v>
      </c>
      <c r="E26" s="282">
        <v>0</v>
      </c>
      <c r="F26" s="282">
        <v>822005.9372424204</v>
      </c>
      <c r="G26" s="282">
        <v>838602</v>
      </c>
      <c r="H26" s="282">
        <v>35168</v>
      </c>
      <c r="I26" s="282">
        <v>78935</v>
      </c>
      <c r="J26" s="282">
        <v>0</v>
      </c>
      <c r="K26" s="282">
        <v>34855.16</v>
      </c>
      <c r="L26" s="282">
        <v>0</v>
      </c>
      <c r="M26" s="283">
        <v>0</v>
      </c>
      <c r="N26" s="283">
        <v>0</v>
      </c>
      <c r="O26" s="272">
        <f t="shared" si="2"/>
        <v>1102826.28</v>
      </c>
      <c r="P26" s="454">
        <v>1036585.86</v>
      </c>
      <c r="Q26" s="282">
        <v>0</v>
      </c>
      <c r="R26" s="282">
        <v>0</v>
      </c>
      <c r="S26" s="282">
        <v>0</v>
      </c>
      <c r="T26" s="282">
        <v>66240.42</v>
      </c>
      <c r="U26" s="282">
        <v>0</v>
      </c>
      <c r="X26" s="455"/>
    </row>
    <row r="27" spans="1:24" ht="13.5" thickBot="1">
      <c r="A27" s="451"/>
      <c r="B27" s="452" t="s">
        <v>397</v>
      </c>
      <c r="C27" s="453">
        <v>2024</v>
      </c>
      <c r="D27" s="282">
        <v>114808</v>
      </c>
      <c r="E27" s="282">
        <v>0</v>
      </c>
      <c r="F27" s="282">
        <v>729253.6143756702</v>
      </c>
      <c r="G27" s="282">
        <v>723070.56</v>
      </c>
      <c r="H27" s="282">
        <v>40525</v>
      </c>
      <c r="I27" s="282">
        <v>16934</v>
      </c>
      <c r="J27" s="282">
        <v>0</v>
      </c>
      <c r="K27" s="282">
        <v>29285</v>
      </c>
      <c r="L27" s="282">
        <v>0</v>
      </c>
      <c r="M27" s="283">
        <v>0</v>
      </c>
      <c r="N27" s="283">
        <v>0</v>
      </c>
      <c r="O27" s="272">
        <f t="shared" si="2"/>
        <v>924622.56</v>
      </c>
      <c r="P27" s="454">
        <v>832923.97</v>
      </c>
      <c r="Q27" s="282">
        <v>0</v>
      </c>
      <c r="R27" s="282">
        <v>0</v>
      </c>
      <c r="S27" s="282">
        <v>35942</v>
      </c>
      <c r="T27" s="282">
        <v>55756.59</v>
      </c>
      <c r="U27" s="282">
        <v>0</v>
      </c>
      <c r="X27" s="455"/>
    </row>
    <row r="28" spans="1:24" ht="13.5" thickBot="1">
      <c r="A28" s="451"/>
      <c r="B28" s="452" t="s">
        <v>398</v>
      </c>
      <c r="C28" s="453">
        <v>2025</v>
      </c>
      <c r="D28" s="282">
        <v>23945.83</v>
      </c>
      <c r="E28" s="282">
        <v>0</v>
      </c>
      <c r="F28" s="282">
        <v>1143844.6175063178</v>
      </c>
      <c r="G28" s="282">
        <v>1161496</v>
      </c>
      <c r="H28" s="282">
        <v>58833</v>
      </c>
      <c r="I28" s="282">
        <v>36643</v>
      </c>
      <c r="J28" s="282">
        <v>0</v>
      </c>
      <c r="K28" s="282">
        <v>52384.69</v>
      </c>
      <c r="L28" s="282">
        <v>0</v>
      </c>
      <c r="M28" s="283">
        <v>0</v>
      </c>
      <c r="N28" s="283">
        <v>0</v>
      </c>
      <c r="O28" s="272">
        <f t="shared" si="2"/>
        <v>1333302.52</v>
      </c>
      <c r="P28" s="454">
        <v>1338242.22</v>
      </c>
      <c r="Q28" s="282">
        <v>0</v>
      </c>
      <c r="R28" s="282">
        <v>0</v>
      </c>
      <c r="S28" s="282">
        <v>0</v>
      </c>
      <c r="T28" s="282">
        <v>-4939.7</v>
      </c>
      <c r="U28" s="282">
        <v>0</v>
      </c>
      <c r="X28" s="455"/>
    </row>
    <row r="29" spans="1:24" ht="13.5" thickBot="1">
      <c r="A29" s="451"/>
      <c r="B29" s="452" t="s">
        <v>399</v>
      </c>
      <c r="C29" s="453">
        <v>2026</v>
      </c>
      <c r="D29" s="282">
        <v>98132.96</v>
      </c>
      <c r="E29" s="282">
        <v>0</v>
      </c>
      <c r="F29" s="282">
        <v>737896.311787772</v>
      </c>
      <c r="G29" s="282">
        <v>760249</v>
      </c>
      <c r="H29" s="282">
        <v>60333</v>
      </c>
      <c r="I29" s="282">
        <v>28013</v>
      </c>
      <c r="J29" s="282">
        <v>0</v>
      </c>
      <c r="K29" s="282">
        <v>46173.08</v>
      </c>
      <c r="L29" s="282">
        <v>0</v>
      </c>
      <c r="M29" s="283">
        <v>0</v>
      </c>
      <c r="N29" s="283">
        <v>0</v>
      </c>
      <c r="O29" s="272">
        <f t="shared" si="2"/>
        <v>992901.0399999999</v>
      </c>
      <c r="P29" s="454">
        <v>935636.56</v>
      </c>
      <c r="Q29" s="282">
        <v>0</v>
      </c>
      <c r="R29" s="282">
        <v>820</v>
      </c>
      <c r="S29" s="282">
        <v>0</v>
      </c>
      <c r="T29" s="282">
        <v>56444.48</v>
      </c>
      <c r="U29" s="282">
        <v>0</v>
      </c>
      <c r="X29" s="455"/>
    </row>
    <row r="30" spans="1:24" ht="13.5" thickBot="1">
      <c r="A30" s="451"/>
      <c r="B30" s="452" t="s">
        <v>400</v>
      </c>
      <c r="C30" s="453">
        <v>2029</v>
      </c>
      <c r="D30" s="282">
        <v>160525.96</v>
      </c>
      <c r="E30" s="282">
        <v>0</v>
      </c>
      <c r="F30" s="282">
        <v>995370.4219392609</v>
      </c>
      <c r="G30" s="282">
        <v>1008627.26</v>
      </c>
      <c r="H30" s="282">
        <v>51134</v>
      </c>
      <c r="I30" s="282">
        <v>36601</v>
      </c>
      <c r="J30" s="282">
        <v>0</v>
      </c>
      <c r="K30" s="282">
        <v>12458.89</v>
      </c>
      <c r="L30" s="282">
        <v>0</v>
      </c>
      <c r="M30" s="283">
        <v>0</v>
      </c>
      <c r="N30" s="283">
        <v>0</v>
      </c>
      <c r="O30" s="272">
        <f t="shared" si="2"/>
        <v>1269347.1099999999</v>
      </c>
      <c r="P30" s="454">
        <v>1182950.87</v>
      </c>
      <c r="Q30" s="282">
        <v>0</v>
      </c>
      <c r="R30" s="282">
        <v>0</v>
      </c>
      <c r="S30" s="282">
        <v>7687</v>
      </c>
      <c r="T30" s="282">
        <v>78709.24</v>
      </c>
      <c r="U30" s="282">
        <v>0</v>
      </c>
      <c r="X30" s="455"/>
    </row>
    <row r="31" spans="1:24" ht="13.5" thickBot="1">
      <c r="A31" s="451"/>
      <c r="B31" s="452" t="s">
        <v>401</v>
      </c>
      <c r="C31" s="453">
        <v>2032</v>
      </c>
      <c r="D31" s="282">
        <v>89091.07</v>
      </c>
      <c r="E31" s="282">
        <v>0</v>
      </c>
      <c r="F31" s="282">
        <v>893903.185976089</v>
      </c>
      <c r="G31" s="282">
        <v>911471</v>
      </c>
      <c r="H31" s="282">
        <v>42116</v>
      </c>
      <c r="I31" s="282">
        <v>37779</v>
      </c>
      <c r="J31" s="282">
        <v>0</v>
      </c>
      <c r="K31" s="282">
        <v>94193.92</v>
      </c>
      <c r="L31" s="282">
        <v>0</v>
      </c>
      <c r="M31" s="283">
        <v>0</v>
      </c>
      <c r="N31" s="283">
        <v>0</v>
      </c>
      <c r="O31" s="272">
        <f t="shared" si="2"/>
        <v>1174650.99</v>
      </c>
      <c r="P31" s="454">
        <v>1107837.27</v>
      </c>
      <c r="Q31" s="282">
        <v>0</v>
      </c>
      <c r="R31" s="282">
        <v>259.63</v>
      </c>
      <c r="S31" s="282">
        <v>0</v>
      </c>
      <c r="T31" s="282">
        <v>66554.09</v>
      </c>
      <c r="U31" s="282">
        <v>0</v>
      </c>
      <c r="X31" s="455"/>
    </row>
    <row r="32" spans="1:24" ht="13.5" thickBot="1">
      <c r="A32" s="451"/>
      <c r="B32" s="452" t="s">
        <v>402</v>
      </c>
      <c r="C32" s="453">
        <v>2033</v>
      </c>
      <c r="D32" s="282">
        <v>69115.87</v>
      </c>
      <c r="E32" s="282">
        <v>0</v>
      </c>
      <c r="F32" s="282">
        <v>956914.5067540032</v>
      </c>
      <c r="G32" s="282">
        <v>966198</v>
      </c>
      <c r="H32" s="282">
        <v>52909</v>
      </c>
      <c r="I32" s="282">
        <v>23612</v>
      </c>
      <c r="J32" s="282">
        <v>0</v>
      </c>
      <c r="K32" s="282">
        <v>28386.87</v>
      </c>
      <c r="L32" s="282">
        <v>0</v>
      </c>
      <c r="M32" s="283">
        <v>0</v>
      </c>
      <c r="N32" s="283">
        <v>0</v>
      </c>
      <c r="O32" s="272">
        <f t="shared" si="2"/>
        <v>1140221.7400000002</v>
      </c>
      <c r="P32" s="454">
        <v>1082671.91</v>
      </c>
      <c r="Q32" s="282">
        <v>0</v>
      </c>
      <c r="R32" s="282">
        <v>0</v>
      </c>
      <c r="S32" s="282">
        <v>0</v>
      </c>
      <c r="T32" s="282">
        <v>57549.83</v>
      </c>
      <c r="U32" s="282">
        <v>0</v>
      </c>
      <c r="X32" s="455"/>
    </row>
    <row r="33" spans="1:24" ht="13.5" thickBot="1">
      <c r="A33" s="451"/>
      <c r="B33" s="452" t="s">
        <v>403</v>
      </c>
      <c r="C33" s="453">
        <v>2034</v>
      </c>
      <c r="D33" s="282">
        <v>122644.53</v>
      </c>
      <c r="E33" s="282">
        <v>0</v>
      </c>
      <c r="F33" s="282">
        <v>828154.965257262</v>
      </c>
      <c r="G33" s="282">
        <v>831947.45</v>
      </c>
      <c r="H33" s="282">
        <v>47348.43</v>
      </c>
      <c r="I33" s="282">
        <v>131937</v>
      </c>
      <c r="J33" s="282">
        <v>0</v>
      </c>
      <c r="K33" s="282">
        <v>74005.62</v>
      </c>
      <c r="L33" s="282">
        <v>0</v>
      </c>
      <c r="M33" s="283">
        <v>0</v>
      </c>
      <c r="N33" s="283">
        <v>0</v>
      </c>
      <c r="O33" s="272">
        <f t="shared" si="2"/>
        <v>1207883.03</v>
      </c>
      <c r="P33" s="454">
        <v>1124392.29</v>
      </c>
      <c r="Q33" s="282">
        <v>0</v>
      </c>
      <c r="R33" s="282">
        <v>0</v>
      </c>
      <c r="S33" s="282">
        <v>0</v>
      </c>
      <c r="T33" s="282">
        <v>83490.74</v>
      </c>
      <c r="U33" s="282">
        <v>0</v>
      </c>
      <c r="X33" s="455"/>
    </row>
    <row r="34" spans="1:24" ht="13.5" thickBot="1">
      <c r="A34" s="451"/>
      <c r="B34" s="452" t="s">
        <v>404</v>
      </c>
      <c r="C34" s="453">
        <v>2036</v>
      </c>
      <c r="D34" s="282">
        <v>154920.54</v>
      </c>
      <c r="E34" s="282">
        <v>0</v>
      </c>
      <c r="F34" s="282">
        <v>1444428.1824012578</v>
      </c>
      <c r="G34" s="282">
        <v>1480210</v>
      </c>
      <c r="H34" s="282">
        <v>143141.3</v>
      </c>
      <c r="I34" s="282">
        <v>131211</v>
      </c>
      <c r="J34" s="282">
        <v>0</v>
      </c>
      <c r="K34" s="282">
        <v>34216.47</v>
      </c>
      <c r="L34" s="282">
        <v>0</v>
      </c>
      <c r="M34" s="283">
        <v>0</v>
      </c>
      <c r="N34" s="283">
        <v>0</v>
      </c>
      <c r="O34" s="272">
        <f t="shared" si="2"/>
        <v>1943699.31</v>
      </c>
      <c r="P34" s="454">
        <v>1758489.87</v>
      </c>
      <c r="Q34" s="282">
        <v>0</v>
      </c>
      <c r="R34" s="282">
        <v>140202</v>
      </c>
      <c r="S34" s="282">
        <v>0</v>
      </c>
      <c r="T34" s="282">
        <v>45007.44</v>
      </c>
      <c r="U34" s="282">
        <v>0</v>
      </c>
      <c r="X34" s="455"/>
    </row>
    <row r="35" spans="1:24" ht="13.5" thickBot="1">
      <c r="A35" s="451"/>
      <c r="B35" s="452" t="s">
        <v>405</v>
      </c>
      <c r="C35" s="453">
        <v>2037</v>
      </c>
      <c r="D35" s="282">
        <v>259511.22</v>
      </c>
      <c r="E35" s="282">
        <v>0</v>
      </c>
      <c r="F35" s="282">
        <v>1367552.088203213</v>
      </c>
      <c r="G35" s="282">
        <v>1397329</v>
      </c>
      <c r="H35" s="282">
        <v>77997</v>
      </c>
      <c r="I35" s="282">
        <v>121786</v>
      </c>
      <c r="J35" s="282">
        <v>0</v>
      </c>
      <c r="K35" s="282">
        <v>31747.93</v>
      </c>
      <c r="L35" s="282">
        <v>0</v>
      </c>
      <c r="M35" s="283">
        <v>0</v>
      </c>
      <c r="N35" s="283">
        <v>0</v>
      </c>
      <c r="O35" s="272">
        <f t="shared" si="2"/>
        <v>1888371.15</v>
      </c>
      <c r="P35" s="454">
        <v>1686802.48</v>
      </c>
      <c r="Q35" s="282">
        <v>0</v>
      </c>
      <c r="R35" s="282">
        <v>0</v>
      </c>
      <c r="S35" s="282">
        <v>0</v>
      </c>
      <c r="T35" s="282">
        <v>201568.67</v>
      </c>
      <c r="U35" s="282">
        <v>0</v>
      </c>
      <c r="X35" s="455"/>
    </row>
    <row r="36" spans="1:24" ht="13.5" thickBot="1">
      <c r="A36" s="451"/>
      <c r="B36" s="452" t="s">
        <v>406</v>
      </c>
      <c r="C36" s="453">
        <v>2038</v>
      </c>
      <c r="D36" s="282">
        <v>111610.51</v>
      </c>
      <c r="E36" s="282">
        <v>0</v>
      </c>
      <c r="F36" s="282">
        <v>978481.2123245647</v>
      </c>
      <c r="G36" s="282">
        <v>994645.5</v>
      </c>
      <c r="H36" s="282">
        <v>49806</v>
      </c>
      <c r="I36" s="282">
        <v>42976</v>
      </c>
      <c r="J36" s="282">
        <v>0</v>
      </c>
      <c r="K36" s="282">
        <v>27062.23</v>
      </c>
      <c r="L36" s="282">
        <v>0</v>
      </c>
      <c r="M36" s="283">
        <v>0</v>
      </c>
      <c r="N36" s="283">
        <v>0</v>
      </c>
      <c r="O36" s="272">
        <f t="shared" si="2"/>
        <v>1226100.24</v>
      </c>
      <c r="P36" s="454">
        <v>1186703.5</v>
      </c>
      <c r="Q36" s="282">
        <v>0</v>
      </c>
      <c r="R36" s="282">
        <v>0</v>
      </c>
      <c r="S36" s="282">
        <v>0</v>
      </c>
      <c r="T36" s="282">
        <v>39396.74</v>
      </c>
      <c r="U36" s="282">
        <v>0</v>
      </c>
      <c r="X36" s="455"/>
    </row>
    <row r="37" spans="1:24" ht="13.5" thickBot="1">
      <c r="A37" s="451"/>
      <c r="B37" s="452" t="s">
        <v>407</v>
      </c>
      <c r="C37" s="453">
        <v>2039</v>
      </c>
      <c r="D37" s="282">
        <v>153797.61</v>
      </c>
      <c r="E37" s="282">
        <v>0</v>
      </c>
      <c r="F37" s="282">
        <v>973569.0853338769</v>
      </c>
      <c r="G37" s="282">
        <v>985618</v>
      </c>
      <c r="H37" s="282">
        <v>39202</v>
      </c>
      <c r="I37" s="282">
        <v>20849</v>
      </c>
      <c r="J37" s="282">
        <v>0</v>
      </c>
      <c r="K37" s="282">
        <v>10376.86</v>
      </c>
      <c r="L37" s="282">
        <v>0</v>
      </c>
      <c r="M37" s="283">
        <v>0</v>
      </c>
      <c r="N37" s="283">
        <v>0</v>
      </c>
      <c r="O37" s="272">
        <f t="shared" si="2"/>
        <v>1209843.4700000002</v>
      </c>
      <c r="P37" s="454">
        <v>1104528.5</v>
      </c>
      <c r="Q37" s="282">
        <v>0</v>
      </c>
      <c r="R37" s="282">
        <v>0</v>
      </c>
      <c r="S37" s="282">
        <v>0</v>
      </c>
      <c r="T37" s="282">
        <v>105314.97</v>
      </c>
      <c r="U37" s="282">
        <v>0</v>
      </c>
      <c r="X37" s="455"/>
    </row>
    <row r="38" spans="1:24" ht="13.5" thickBot="1">
      <c r="A38" s="451"/>
      <c r="B38" s="452" t="s">
        <v>408</v>
      </c>
      <c r="C38" s="453">
        <v>2048</v>
      </c>
      <c r="D38" s="282">
        <v>146130</v>
      </c>
      <c r="E38" s="282">
        <v>0</v>
      </c>
      <c r="F38" s="282">
        <v>1321286.9254751322</v>
      </c>
      <c r="G38" s="282">
        <v>1315960</v>
      </c>
      <c r="H38" s="282">
        <v>88112</v>
      </c>
      <c r="I38" s="282">
        <v>46130</v>
      </c>
      <c r="J38" s="282">
        <v>0</v>
      </c>
      <c r="K38" s="282">
        <v>24726.9</v>
      </c>
      <c r="L38" s="282">
        <v>0</v>
      </c>
      <c r="M38" s="283">
        <v>0</v>
      </c>
      <c r="N38" s="283">
        <v>0</v>
      </c>
      <c r="O38" s="272">
        <f t="shared" si="2"/>
        <v>1621058.9</v>
      </c>
      <c r="P38" s="454">
        <v>1518337.16</v>
      </c>
      <c r="Q38" s="282">
        <v>0</v>
      </c>
      <c r="R38" s="282">
        <v>0</v>
      </c>
      <c r="S38" s="282">
        <v>0</v>
      </c>
      <c r="T38" s="282">
        <v>102721.74</v>
      </c>
      <c r="U38" s="282">
        <v>0</v>
      </c>
      <c r="X38" s="455"/>
    </row>
    <row r="39" spans="1:24" ht="13.5" thickBot="1">
      <c r="A39" s="451"/>
      <c r="B39" s="452" t="s">
        <v>409</v>
      </c>
      <c r="C39" s="453">
        <v>2051</v>
      </c>
      <c r="D39" s="282">
        <v>164561.99</v>
      </c>
      <c r="E39" s="282">
        <v>0</v>
      </c>
      <c r="F39" s="282">
        <v>1491719.6185822708</v>
      </c>
      <c r="G39" s="282">
        <v>1448132</v>
      </c>
      <c r="H39" s="282">
        <v>143049</v>
      </c>
      <c r="I39" s="282">
        <v>253490.6</v>
      </c>
      <c r="J39" s="282">
        <v>0</v>
      </c>
      <c r="K39" s="282">
        <v>37676.27</v>
      </c>
      <c r="L39" s="282">
        <v>0</v>
      </c>
      <c r="M39" s="283">
        <v>0</v>
      </c>
      <c r="N39" s="283">
        <v>0</v>
      </c>
      <c r="O39" s="272">
        <f t="shared" si="2"/>
        <v>2046909.86</v>
      </c>
      <c r="P39" s="454">
        <v>1898582.29</v>
      </c>
      <c r="Q39" s="282">
        <v>0</v>
      </c>
      <c r="R39" s="282">
        <v>0</v>
      </c>
      <c r="S39" s="282">
        <v>61225</v>
      </c>
      <c r="T39" s="282">
        <v>87102.57</v>
      </c>
      <c r="U39" s="282">
        <v>0</v>
      </c>
      <c r="X39" s="455"/>
    </row>
    <row r="40" spans="1:24" ht="13.5" thickBot="1">
      <c r="A40" s="451"/>
      <c r="B40" s="452" t="s">
        <v>410</v>
      </c>
      <c r="C40" s="453">
        <v>2052</v>
      </c>
      <c r="D40" s="282">
        <v>76305.79</v>
      </c>
      <c r="E40" s="282">
        <v>0</v>
      </c>
      <c r="F40" s="282">
        <v>1032341.0124672373</v>
      </c>
      <c r="G40" s="282">
        <v>1051441.85</v>
      </c>
      <c r="H40" s="282">
        <v>63700</v>
      </c>
      <c r="I40" s="282">
        <v>63121.42</v>
      </c>
      <c r="J40" s="282">
        <v>0</v>
      </c>
      <c r="K40" s="282">
        <v>18540.48</v>
      </c>
      <c r="L40" s="282">
        <v>0</v>
      </c>
      <c r="M40" s="283">
        <v>0</v>
      </c>
      <c r="N40" s="283">
        <v>0</v>
      </c>
      <c r="O40" s="272">
        <f t="shared" si="2"/>
        <v>1273109.54</v>
      </c>
      <c r="P40" s="454">
        <v>1138048.26</v>
      </c>
      <c r="Q40" s="282">
        <v>0</v>
      </c>
      <c r="R40" s="282">
        <v>0</v>
      </c>
      <c r="S40" s="282">
        <v>0</v>
      </c>
      <c r="T40" s="282">
        <v>135061.28</v>
      </c>
      <c r="U40" s="282">
        <v>0</v>
      </c>
      <c r="X40" s="455"/>
    </row>
    <row r="41" spans="1:24" ht="13.5" thickBot="1">
      <c r="A41" s="451"/>
      <c r="B41" s="452" t="s">
        <v>411</v>
      </c>
      <c r="C41" s="453">
        <v>2054</v>
      </c>
      <c r="D41" s="282">
        <v>202669.18</v>
      </c>
      <c r="E41" s="282">
        <v>0</v>
      </c>
      <c r="F41" s="282">
        <v>1006046.4671716922</v>
      </c>
      <c r="G41" s="282">
        <v>1035213.16</v>
      </c>
      <c r="H41" s="282">
        <v>37939</v>
      </c>
      <c r="I41" s="282">
        <v>38042</v>
      </c>
      <c r="J41" s="282">
        <v>0</v>
      </c>
      <c r="K41" s="282">
        <v>48438.14</v>
      </c>
      <c r="L41" s="282">
        <v>0</v>
      </c>
      <c r="M41" s="283">
        <v>0</v>
      </c>
      <c r="N41" s="283">
        <v>0</v>
      </c>
      <c r="O41" s="272">
        <f t="shared" si="2"/>
        <v>1362301.48</v>
      </c>
      <c r="P41" s="454">
        <v>1137710.7</v>
      </c>
      <c r="Q41" s="282">
        <v>0</v>
      </c>
      <c r="R41" s="282">
        <v>31</v>
      </c>
      <c r="S41" s="282">
        <v>0</v>
      </c>
      <c r="T41" s="282">
        <v>224559.78</v>
      </c>
      <c r="U41" s="282">
        <v>0</v>
      </c>
      <c r="X41" s="455"/>
    </row>
    <row r="42" spans="1:24" ht="13.5" thickBot="1">
      <c r="A42" s="451"/>
      <c r="B42" s="452" t="s">
        <v>412</v>
      </c>
      <c r="C42" s="453">
        <v>2055</v>
      </c>
      <c r="D42" s="282">
        <v>203233.08</v>
      </c>
      <c r="E42" s="282">
        <v>0</v>
      </c>
      <c r="F42" s="282">
        <v>1423006.10767486</v>
      </c>
      <c r="G42" s="282">
        <v>1452075</v>
      </c>
      <c r="H42" s="282">
        <v>85802</v>
      </c>
      <c r="I42" s="282">
        <v>114997</v>
      </c>
      <c r="J42" s="282">
        <v>0</v>
      </c>
      <c r="K42" s="282">
        <v>85504.01</v>
      </c>
      <c r="L42" s="282">
        <v>0</v>
      </c>
      <c r="M42" s="283">
        <v>0</v>
      </c>
      <c r="N42" s="283">
        <v>0</v>
      </c>
      <c r="O42" s="272">
        <f t="shared" si="2"/>
        <v>1941611.09</v>
      </c>
      <c r="P42" s="454">
        <v>1768800.55</v>
      </c>
      <c r="Q42" s="282">
        <v>0</v>
      </c>
      <c r="R42" s="282">
        <v>14825.27</v>
      </c>
      <c r="S42" s="282">
        <v>0</v>
      </c>
      <c r="T42" s="282">
        <v>157985.27</v>
      </c>
      <c r="U42" s="282">
        <v>0</v>
      </c>
      <c r="X42" s="455"/>
    </row>
    <row r="43" spans="1:24" ht="13.5" thickBot="1">
      <c r="A43" s="451"/>
      <c r="B43" s="452" t="s">
        <v>413</v>
      </c>
      <c r="C43" s="453">
        <v>2059</v>
      </c>
      <c r="D43" s="282">
        <v>117325.73</v>
      </c>
      <c r="E43" s="282">
        <v>0</v>
      </c>
      <c r="F43" s="282">
        <v>1501405.964218912</v>
      </c>
      <c r="G43" s="282">
        <v>1553627.11</v>
      </c>
      <c r="H43" s="282">
        <v>112920</v>
      </c>
      <c r="I43" s="282">
        <v>73390</v>
      </c>
      <c r="J43" s="282">
        <v>0</v>
      </c>
      <c r="K43" s="282">
        <v>55327.62</v>
      </c>
      <c r="L43" s="282">
        <v>89513.26</v>
      </c>
      <c r="M43" s="283">
        <v>0</v>
      </c>
      <c r="N43" s="283">
        <v>0</v>
      </c>
      <c r="O43" s="272">
        <f t="shared" si="2"/>
        <v>2002103.7200000002</v>
      </c>
      <c r="P43" s="454">
        <v>1826403.43</v>
      </c>
      <c r="Q43" s="282">
        <v>0</v>
      </c>
      <c r="R43" s="282">
        <v>0</v>
      </c>
      <c r="S43" s="282">
        <v>58539</v>
      </c>
      <c r="T43" s="282">
        <v>117161.29</v>
      </c>
      <c r="U43" s="282">
        <v>0</v>
      </c>
      <c r="X43" s="455"/>
    </row>
    <row r="44" spans="1:24" ht="13.5" thickBot="1">
      <c r="A44" s="451"/>
      <c r="B44" s="452" t="s">
        <v>414</v>
      </c>
      <c r="C44" s="453">
        <v>2060</v>
      </c>
      <c r="D44" s="282">
        <v>187412.7</v>
      </c>
      <c r="E44" s="282">
        <v>0</v>
      </c>
      <c r="F44" s="282">
        <v>1377281.1113034915</v>
      </c>
      <c r="G44" s="282">
        <v>1411089.19</v>
      </c>
      <c r="H44" s="282">
        <v>76978</v>
      </c>
      <c r="I44" s="282">
        <v>42375.9</v>
      </c>
      <c r="J44" s="282">
        <v>0</v>
      </c>
      <c r="K44" s="282">
        <v>27482.36</v>
      </c>
      <c r="L44" s="282">
        <v>0</v>
      </c>
      <c r="M44" s="283">
        <v>0</v>
      </c>
      <c r="N44" s="283">
        <v>0</v>
      </c>
      <c r="O44" s="272">
        <f t="shared" si="2"/>
        <v>1745338.15</v>
      </c>
      <c r="P44" s="454">
        <v>1645915.83</v>
      </c>
      <c r="Q44" s="282">
        <v>0</v>
      </c>
      <c r="R44" s="282">
        <v>0</v>
      </c>
      <c r="S44" s="282">
        <v>0</v>
      </c>
      <c r="T44" s="282">
        <v>99422.32</v>
      </c>
      <c r="U44" s="282">
        <v>0</v>
      </c>
      <c r="X44" s="455"/>
    </row>
    <row r="45" spans="1:24" ht="13.5" thickBot="1">
      <c r="A45" s="451"/>
      <c r="B45" s="452" t="s">
        <v>415</v>
      </c>
      <c r="C45" s="453">
        <v>2061</v>
      </c>
      <c r="D45" s="282">
        <v>39086.34</v>
      </c>
      <c r="E45" s="282">
        <v>0</v>
      </c>
      <c r="F45" s="282">
        <v>739676.7265869912</v>
      </c>
      <c r="G45" s="282">
        <v>767612</v>
      </c>
      <c r="H45" s="282">
        <v>23571</v>
      </c>
      <c r="I45" s="282">
        <v>26342</v>
      </c>
      <c r="J45" s="282">
        <v>0</v>
      </c>
      <c r="K45" s="282">
        <v>35331.83</v>
      </c>
      <c r="L45" s="282">
        <v>0</v>
      </c>
      <c r="M45" s="283">
        <v>0</v>
      </c>
      <c r="N45" s="283">
        <v>0</v>
      </c>
      <c r="O45" s="272">
        <f t="shared" si="2"/>
        <v>891943.1699999999</v>
      </c>
      <c r="P45" s="454">
        <v>858770.32</v>
      </c>
      <c r="Q45" s="282">
        <v>0</v>
      </c>
      <c r="R45" s="282">
        <v>0</v>
      </c>
      <c r="S45" s="282">
        <v>0</v>
      </c>
      <c r="T45" s="282">
        <v>33172.85</v>
      </c>
      <c r="U45" s="282">
        <v>0</v>
      </c>
      <c r="X45" s="455"/>
    </row>
    <row r="46" spans="1:24" ht="13.5" thickBot="1">
      <c r="A46" s="451"/>
      <c r="B46" s="452" t="s">
        <v>416</v>
      </c>
      <c r="C46" s="453">
        <v>2062</v>
      </c>
      <c r="D46" s="282">
        <v>166058.58</v>
      </c>
      <c r="E46" s="282">
        <v>0</v>
      </c>
      <c r="F46" s="282">
        <v>1401098.1378924276</v>
      </c>
      <c r="G46" s="282">
        <v>1408614</v>
      </c>
      <c r="H46" s="282">
        <v>97378</v>
      </c>
      <c r="I46" s="282">
        <v>90674</v>
      </c>
      <c r="J46" s="282">
        <v>0</v>
      </c>
      <c r="K46" s="282">
        <v>16843.91</v>
      </c>
      <c r="L46" s="282">
        <v>0</v>
      </c>
      <c r="M46" s="283">
        <v>0</v>
      </c>
      <c r="N46" s="283">
        <v>0</v>
      </c>
      <c r="O46" s="272">
        <f t="shared" si="2"/>
        <v>1779568.49</v>
      </c>
      <c r="P46" s="454">
        <v>1553511.3</v>
      </c>
      <c r="Q46" s="282">
        <v>0</v>
      </c>
      <c r="R46" s="282">
        <v>0</v>
      </c>
      <c r="S46" s="282">
        <v>113600</v>
      </c>
      <c r="T46" s="282">
        <v>112457.19</v>
      </c>
      <c r="U46" s="282">
        <v>0</v>
      </c>
      <c r="X46" s="455"/>
    </row>
    <row r="47" spans="1:24" ht="13.5" thickBot="1">
      <c r="A47" s="451"/>
      <c r="B47" s="452" t="s">
        <v>417</v>
      </c>
      <c r="C47" s="453">
        <v>2063</v>
      </c>
      <c r="D47" s="282">
        <v>92925.7</v>
      </c>
      <c r="E47" s="282">
        <v>0</v>
      </c>
      <c r="F47" s="282">
        <v>828103.2674263497</v>
      </c>
      <c r="G47" s="282">
        <v>845887.56</v>
      </c>
      <c r="H47" s="282">
        <v>34121</v>
      </c>
      <c r="I47" s="282">
        <v>44468</v>
      </c>
      <c r="J47" s="282">
        <v>0</v>
      </c>
      <c r="K47" s="282">
        <v>23834.86</v>
      </c>
      <c r="L47" s="282">
        <v>0</v>
      </c>
      <c r="M47" s="283">
        <v>0</v>
      </c>
      <c r="N47" s="283">
        <v>0</v>
      </c>
      <c r="O47" s="272">
        <f t="shared" si="2"/>
        <v>1041237.12</v>
      </c>
      <c r="P47" s="454">
        <v>989569.87</v>
      </c>
      <c r="Q47" s="282">
        <v>0</v>
      </c>
      <c r="R47" s="282">
        <v>0</v>
      </c>
      <c r="S47" s="282">
        <v>0</v>
      </c>
      <c r="T47" s="282">
        <v>51667.25</v>
      </c>
      <c r="U47" s="282">
        <v>0</v>
      </c>
      <c r="X47" s="455"/>
    </row>
    <row r="48" spans="1:24" ht="13.5" thickBot="1">
      <c r="A48" s="451"/>
      <c r="B48" s="452" t="s">
        <v>418</v>
      </c>
      <c r="C48" s="453">
        <v>2064</v>
      </c>
      <c r="D48" s="282">
        <v>180768.61</v>
      </c>
      <c r="E48" s="282">
        <v>0</v>
      </c>
      <c r="F48" s="282">
        <v>1120207.2131746293</v>
      </c>
      <c r="G48" s="282">
        <v>1096316</v>
      </c>
      <c r="H48" s="282">
        <v>108859</v>
      </c>
      <c r="I48" s="282">
        <v>84003</v>
      </c>
      <c r="J48" s="282">
        <v>0</v>
      </c>
      <c r="K48" s="282">
        <v>31339.75</v>
      </c>
      <c r="L48" s="282">
        <v>0</v>
      </c>
      <c r="M48" s="283">
        <v>0</v>
      </c>
      <c r="N48" s="283">
        <v>2790</v>
      </c>
      <c r="O48" s="272">
        <f t="shared" si="2"/>
        <v>1504076.3599999999</v>
      </c>
      <c r="P48" s="454">
        <v>1390243.62</v>
      </c>
      <c r="Q48" s="282">
        <v>2790</v>
      </c>
      <c r="R48" s="282">
        <v>0</v>
      </c>
      <c r="S48" s="282">
        <v>46353</v>
      </c>
      <c r="T48" s="282">
        <v>64689.74</v>
      </c>
      <c r="U48" s="282">
        <v>0</v>
      </c>
      <c r="X48" s="455"/>
    </row>
    <row r="49" spans="1:24" ht="13.5" thickBot="1">
      <c r="A49" s="451"/>
      <c r="B49" s="452" t="s">
        <v>419</v>
      </c>
      <c r="C49" s="453">
        <v>2065</v>
      </c>
      <c r="D49" s="282">
        <v>117674.92</v>
      </c>
      <c r="E49" s="282">
        <v>0</v>
      </c>
      <c r="F49" s="282">
        <v>749100.9881991044</v>
      </c>
      <c r="G49" s="282">
        <v>772593</v>
      </c>
      <c r="H49" s="282">
        <v>20018</v>
      </c>
      <c r="I49" s="282">
        <v>23380</v>
      </c>
      <c r="J49" s="282">
        <v>0</v>
      </c>
      <c r="K49" s="282">
        <v>53694.19</v>
      </c>
      <c r="L49" s="282">
        <v>0</v>
      </c>
      <c r="M49" s="283">
        <v>0</v>
      </c>
      <c r="N49" s="283">
        <v>0</v>
      </c>
      <c r="O49" s="272">
        <f t="shared" si="2"/>
        <v>987360.11</v>
      </c>
      <c r="P49" s="454">
        <v>922045.74</v>
      </c>
      <c r="Q49" s="282">
        <v>0</v>
      </c>
      <c r="R49" s="282">
        <v>0</v>
      </c>
      <c r="S49" s="282">
        <v>7605.6</v>
      </c>
      <c r="T49" s="282">
        <v>57708.77</v>
      </c>
      <c r="U49" s="282">
        <v>0</v>
      </c>
      <c r="X49" s="455"/>
    </row>
    <row r="50" spans="1:24" ht="23.25" thickBot="1">
      <c r="A50" s="451"/>
      <c r="B50" s="452" t="s">
        <v>420</v>
      </c>
      <c r="C50" s="453">
        <v>2068</v>
      </c>
      <c r="D50" s="282">
        <v>94704.71</v>
      </c>
      <c r="E50" s="282">
        <v>0</v>
      </c>
      <c r="F50" s="282">
        <v>983809.7845608579</v>
      </c>
      <c r="G50" s="282">
        <v>1010271</v>
      </c>
      <c r="H50" s="282">
        <v>28010</v>
      </c>
      <c r="I50" s="282">
        <v>22027</v>
      </c>
      <c r="J50" s="282">
        <v>0</v>
      </c>
      <c r="K50" s="282">
        <v>20131.64</v>
      </c>
      <c r="L50" s="282">
        <v>0</v>
      </c>
      <c r="M50" s="283">
        <v>0</v>
      </c>
      <c r="N50" s="283">
        <v>0</v>
      </c>
      <c r="O50" s="272">
        <f t="shared" si="2"/>
        <v>1175144.3499999999</v>
      </c>
      <c r="P50" s="454">
        <v>1041031.27</v>
      </c>
      <c r="Q50" s="282">
        <v>0</v>
      </c>
      <c r="R50" s="282">
        <v>0</v>
      </c>
      <c r="S50" s="282">
        <v>91000</v>
      </c>
      <c r="T50" s="282">
        <v>43113.08</v>
      </c>
      <c r="U50" s="282">
        <v>0</v>
      </c>
      <c r="X50" s="455"/>
    </row>
    <row r="51" spans="1:24" ht="13.5" thickBot="1">
      <c r="A51" s="451"/>
      <c r="B51" s="452" t="s">
        <v>421</v>
      </c>
      <c r="C51" s="453">
        <v>2069</v>
      </c>
      <c r="D51" s="282">
        <v>138314.48</v>
      </c>
      <c r="E51" s="282">
        <v>0</v>
      </c>
      <c r="F51" s="282">
        <v>1008839.2773436133</v>
      </c>
      <c r="G51" s="282">
        <v>1023630</v>
      </c>
      <c r="H51" s="282">
        <v>51774</v>
      </c>
      <c r="I51" s="282">
        <v>24928</v>
      </c>
      <c r="J51" s="282">
        <v>0</v>
      </c>
      <c r="K51" s="282">
        <v>53726.47</v>
      </c>
      <c r="L51" s="282">
        <v>0</v>
      </c>
      <c r="M51" s="283">
        <v>0</v>
      </c>
      <c r="N51" s="283">
        <v>0</v>
      </c>
      <c r="O51" s="272">
        <f t="shared" si="2"/>
        <v>1292372.95</v>
      </c>
      <c r="P51" s="454">
        <v>1102426.13</v>
      </c>
      <c r="Q51" s="282">
        <v>0</v>
      </c>
      <c r="R51" s="282">
        <v>0</v>
      </c>
      <c r="S51" s="282">
        <v>0</v>
      </c>
      <c r="T51" s="282">
        <v>189946.82</v>
      </c>
      <c r="U51" s="282">
        <v>0</v>
      </c>
      <c r="X51" s="455"/>
    </row>
    <row r="52" spans="1:24" ht="13.5" thickBot="1">
      <c r="A52" s="451"/>
      <c r="B52" s="452" t="s">
        <v>422</v>
      </c>
      <c r="C52" s="453">
        <v>2074</v>
      </c>
      <c r="D52" s="282">
        <v>258181.53</v>
      </c>
      <c r="E52" s="282">
        <v>0</v>
      </c>
      <c r="F52" s="282">
        <v>1038834.8936061206</v>
      </c>
      <c r="G52" s="282">
        <v>1024449.33</v>
      </c>
      <c r="H52" s="282">
        <v>79397</v>
      </c>
      <c r="I52" s="282">
        <v>28834</v>
      </c>
      <c r="J52" s="282">
        <v>0</v>
      </c>
      <c r="K52" s="282">
        <v>47945.81</v>
      </c>
      <c r="L52" s="282">
        <v>0</v>
      </c>
      <c r="M52" s="283">
        <v>0</v>
      </c>
      <c r="N52" s="283">
        <v>0</v>
      </c>
      <c r="O52" s="272">
        <f t="shared" si="2"/>
        <v>1438807.6700000002</v>
      </c>
      <c r="P52" s="454">
        <v>1170428.86</v>
      </c>
      <c r="Q52" s="282">
        <v>0</v>
      </c>
      <c r="R52" s="282">
        <v>0</v>
      </c>
      <c r="S52" s="282">
        <v>0</v>
      </c>
      <c r="T52" s="282">
        <v>268378.81</v>
      </c>
      <c r="U52" s="282">
        <v>0</v>
      </c>
      <c r="X52" s="455"/>
    </row>
    <row r="53" spans="1:24" ht="13.5" thickBot="1">
      <c r="A53" s="451"/>
      <c r="B53" s="452" t="s">
        <v>423</v>
      </c>
      <c r="C53" s="453">
        <v>2076</v>
      </c>
      <c r="D53" s="282">
        <v>23867.1</v>
      </c>
      <c r="E53" s="282">
        <v>0</v>
      </c>
      <c r="F53" s="282">
        <v>1220512.8691848936</v>
      </c>
      <c r="G53" s="282">
        <v>1236338.9</v>
      </c>
      <c r="H53" s="282">
        <v>87976</v>
      </c>
      <c r="I53" s="282">
        <v>42351.36</v>
      </c>
      <c r="J53" s="282">
        <v>0</v>
      </c>
      <c r="K53" s="282">
        <v>33579.43</v>
      </c>
      <c r="L53" s="282">
        <v>0</v>
      </c>
      <c r="M53" s="283">
        <v>1296.76</v>
      </c>
      <c r="N53" s="283">
        <v>0</v>
      </c>
      <c r="O53" s="272">
        <f t="shared" si="2"/>
        <v>1425409.55</v>
      </c>
      <c r="P53" s="454">
        <v>1374086.89</v>
      </c>
      <c r="Q53" s="282">
        <v>0</v>
      </c>
      <c r="R53" s="282">
        <v>0</v>
      </c>
      <c r="S53" s="282">
        <v>0</v>
      </c>
      <c r="T53" s="282">
        <v>50025.9</v>
      </c>
      <c r="U53" s="282">
        <v>1296.76</v>
      </c>
      <c r="X53" s="455"/>
    </row>
    <row r="54" spans="1:24" ht="13.5" thickBot="1">
      <c r="A54" s="451"/>
      <c r="B54" s="452" t="s">
        <v>424</v>
      </c>
      <c r="C54" s="453">
        <v>2078</v>
      </c>
      <c r="D54" s="282">
        <v>206159.37</v>
      </c>
      <c r="E54" s="282">
        <v>0</v>
      </c>
      <c r="F54" s="282">
        <v>2163235.0823690067</v>
      </c>
      <c r="G54" s="282">
        <v>2222521</v>
      </c>
      <c r="H54" s="282">
        <v>114869</v>
      </c>
      <c r="I54" s="282">
        <v>123423</v>
      </c>
      <c r="J54" s="282">
        <v>0</v>
      </c>
      <c r="K54" s="282">
        <v>129773.41</v>
      </c>
      <c r="L54" s="282">
        <v>0</v>
      </c>
      <c r="M54" s="283">
        <v>0</v>
      </c>
      <c r="N54" s="283">
        <v>0</v>
      </c>
      <c r="O54" s="272">
        <f t="shared" si="2"/>
        <v>2796745.7800000003</v>
      </c>
      <c r="P54" s="454">
        <v>2621119.75</v>
      </c>
      <c r="Q54" s="282">
        <v>0</v>
      </c>
      <c r="R54" s="282">
        <v>0</v>
      </c>
      <c r="S54" s="282">
        <v>0</v>
      </c>
      <c r="T54" s="282">
        <v>175626.03</v>
      </c>
      <c r="U54" s="282">
        <v>0</v>
      </c>
      <c r="X54" s="455"/>
    </row>
    <row r="55" spans="1:24" ht="13.5" thickBot="1">
      <c r="A55" s="451"/>
      <c r="B55" s="452" t="s">
        <v>425</v>
      </c>
      <c r="C55" s="453">
        <v>2080</v>
      </c>
      <c r="D55" s="282">
        <v>112430.44</v>
      </c>
      <c r="E55" s="282">
        <v>0</v>
      </c>
      <c r="F55" s="282">
        <v>1194205.3258007846</v>
      </c>
      <c r="G55" s="282">
        <v>1229469</v>
      </c>
      <c r="H55" s="282">
        <v>37755</v>
      </c>
      <c r="I55" s="282">
        <v>39511</v>
      </c>
      <c r="J55" s="282">
        <v>0</v>
      </c>
      <c r="K55" s="282">
        <v>93168.89</v>
      </c>
      <c r="L55" s="282">
        <v>0</v>
      </c>
      <c r="M55" s="283">
        <v>0</v>
      </c>
      <c r="N55" s="283">
        <v>0</v>
      </c>
      <c r="O55" s="272">
        <f t="shared" si="2"/>
        <v>1512334.3299999998</v>
      </c>
      <c r="P55" s="454">
        <v>1432878.26</v>
      </c>
      <c r="Q55" s="282">
        <v>0</v>
      </c>
      <c r="R55" s="282">
        <v>0</v>
      </c>
      <c r="S55" s="282">
        <v>0</v>
      </c>
      <c r="T55" s="282">
        <v>79456.07</v>
      </c>
      <c r="U55" s="282">
        <v>0</v>
      </c>
      <c r="X55" s="455"/>
    </row>
    <row r="56" spans="1:24" ht="13.5" thickBot="1">
      <c r="A56" s="451"/>
      <c r="B56" s="452" t="s">
        <v>426</v>
      </c>
      <c r="C56" s="453">
        <v>2081</v>
      </c>
      <c r="D56" s="282">
        <v>74066.94</v>
      </c>
      <c r="E56" s="282">
        <v>0</v>
      </c>
      <c r="F56" s="282">
        <v>1407794.5488831275</v>
      </c>
      <c r="G56" s="282">
        <v>1385423</v>
      </c>
      <c r="H56" s="282">
        <v>133860</v>
      </c>
      <c r="I56" s="282">
        <v>67083</v>
      </c>
      <c r="J56" s="282">
        <v>0</v>
      </c>
      <c r="K56" s="282">
        <v>55967.41</v>
      </c>
      <c r="L56" s="282">
        <v>0</v>
      </c>
      <c r="M56" s="283">
        <v>0</v>
      </c>
      <c r="N56" s="283">
        <v>0</v>
      </c>
      <c r="O56" s="272">
        <f t="shared" si="2"/>
        <v>1716400.3499999999</v>
      </c>
      <c r="P56" s="454">
        <v>1671240.37</v>
      </c>
      <c r="Q56" s="282">
        <v>0</v>
      </c>
      <c r="R56" s="282">
        <v>0</v>
      </c>
      <c r="S56" s="282">
        <v>0</v>
      </c>
      <c r="T56" s="282">
        <v>45159.98</v>
      </c>
      <c r="U56" s="282">
        <v>0</v>
      </c>
      <c r="X56" s="455"/>
    </row>
    <row r="57" spans="1:24" ht="13.5" thickBot="1">
      <c r="A57" s="451"/>
      <c r="B57" s="452" t="s">
        <v>427</v>
      </c>
      <c r="C57" s="453">
        <v>2082</v>
      </c>
      <c r="D57" s="282">
        <v>376951.94</v>
      </c>
      <c r="E57" s="282">
        <v>0</v>
      </c>
      <c r="F57" s="282">
        <v>2540138.371533001</v>
      </c>
      <c r="G57" s="282">
        <v>2545573.89</v>
      </c>
      <c r="H57" s="282">
        <v>222690.5</v>
      </c>
      <c r="I57" s="282">
        <v>291798</v>
      </c>
      <c r="J57" s="282">
        <v>0</v>
      </c>
      <c r="K57" s="282">
        <v>95914.83</v>
      </c>
      <c r="L57" s="282">
        <v>0</v>
      </c>
      <c r="M57" s="283">
        <v>0</v>
      </c>
      <c r="N57" s="283">
        <v>0</v>
      </c>
      <c r="O57" s="272">
        <f t="shared" si="2"/>
        <v>3532929.16</v>
      </c>
      <c r="P57" s="454">
        <v>3346424.85</v>
      </c>
      <c r="Q57" s="282">
        <v>0</v>
      </c>
      <c r="R57" s="282">
        <v>0</v>
      </c>
      <c r="S57" s="282">
        <v>0</v>
      </c>
      <c r="T57" s="282">
        <v>186504.31</v>
      </c>
      <c r="U57" s="282">
        <v>0</v>
      </c>
      <c r="X57" s="455"/>
    </row>
    <row r="58" spans="1:24" ht="13.5" thickBot="1">
      <c r="A58" s="451"/>
      <c r="B58" s="452" t="s">
        <v>428</v>
      </c>
      <c r="C58" s="453">
        <v>2083</v>
      </c>
      <c r="D58" s="282">
        <v>334278.01</v>
      </c>
      <c r="E58" s="282">
        <v>0</v>
      </c>
      <c r="F58" s="282">
        <v>2436753.194972</v>
      </c>
      <c r="G58" s="282">
        <v>2279995.63</v>
      </c>
      <c r="H58" s="282">
        <v>316727</v>
      </c>
      <c r="I58" s="282">
        <v>160871</v>
      </c>
      <c r="J58" s="282">
        <v>0</v>
      </c>
      <c r="K58" s="282">
        <v>60728.89</v>
      </c>
      <c r="L58" s="282">
        <v>0</v>
      </c>
      <c r="M58" s="283">
        <v>0</v>
      </c>
      <c r="N58" s="283">
        <v>0</v>
      </c>
      <c r="O58" s="272">
        <f t="shared" si="2"/>
        <v>3152600.5300000003</v>
      </c>
      <c r="P58" s="454">
        <v>3012065.74</v>
      </c>
      <c r="Q58" s="282">
        <v>0</v>
      </c>
      <c r="R58" s="282">
        <v>0</v>
      </c>
      <c r="S58" s="282">
        <v>0</v>
      </c>
      <c r="T58" s="282">
        <v>140534.79</v>
      </c>
      <c r="U58" s="282">
        <v>0</v>
      </c>
      <c r="X58" s="455"/>
    </row>
    <row r="59" spans="1:24" ht="13.5" thickBot="1">
      <c r="A59" s="451"/>
      <c r="B59" s="452" t="s">
        <v>429</v>
      </c>
      <c r="C59" s="453">
        <v>2084</v>
      </c>
      <c r="D59" s="282">
        <v>377175.67</v>
      </c>
      <c r="E59" s="282">
        <v>0</v>
      </c>
      <c r="F59" s="282">
        <v>1453558.5315920275</v>
      </c>
      <c r="G59" s="282">
        <v>1464223</v>
      </c>
      <c r="H59" s="282">
        <v>129761</v>
      </c>
      <c r="I59" s="282">
        <v>122389</v>
      </c>
      <c r="J59" s="282">
        <v>0</v>
      </c>
      <c r="K59" s="282">
        <v>80229.56</v>
      </c>
      <c r="L59" s="282">
        <v>0</v>
      </c>
      <c r="M59" s="283">
        <v>0</v>
      </c>
      <c r="N59" s="283">
        <v>0</v>
      </c>
      <c r="O59" s="272">
        <f t="shared" si="2"/>
        <v>2173778.23</v>
      </c>
      <c r="P59" s="454">
        <v>1737944.29</v>
      </c>
      <c r="Q59" s="282">
        <v>0</v>
      </c>
      <c r="R59" s="282">
        <v>0</v>
      </c>
      <c r="S59" s="282">
        <v>0</v>
      </c>
      <c r="T59" s="282">
        <v>435833.94</v>
      </c>
      <c r="U59" s="282">
        <v>0</v>
      </c>
      <c r="X59" s="455"/>
    </row>
    <row r="60" spans="1:24" ht="23.25" thickBot="1">
      <c r="A60" s="451"/>
      <c r="B60" s="452" t="s">
        <v>430</v>
      </c>
      <c r="C60" s="453">
        <v>3300</v>
      </c>
      <c r="D60" s="282">
        <v>6685.21</v>
      </c>
      <c r="E60" s="282">
        <v>0</v>
      </c>
      <c r="F60" s="282">
        <v>1242200.7464478144</v>
      </c>
      <c r="G60" s="282">
        <v>1238827</v>
      </c>
      <c r="H60" s="282">
        <v>39844</v>
      </c>
      <c r="I60" s="282">
        <v>44238</v>
      </c>
      <c r="J60" s="282">
        <v>0</v>
      </c>
      <c r="K60" s="282">
        <v>95239.54</v>
      </c>
      <c r="L60" s="282">
        <v>0</v>
      </c>
      <c r="M60" s="283">
        <v>0</v>
      </c>
      <c r="N60" s="283">
        <v>0</v>
      </c>
      <c r="O60" s="272">
        <f t="shared" si="2"/>
        <v>1424833.75</v>
      </c>
      <c r="P60" s="454">
        <v>1395983.54</v>
      </c>
      <c r="Q60" s="282">
        <v>0</v>
      </c>
      <c r="R60" s="282">
        <v>0</v>
      </c>
      <c r="S60" s="282">
        <v>11403</v>
      </c>
      <c r="T60" s="282">
        <v>17447.21</v>
      </c>
      <c r="U60" s="282">
        <v>0</v>
      </c>
      <c r="X60" s="455"/>
    </row>
    <row r="61" spans="1:24" ht="13.5" thickBot="1">
      <c r="A61" s="451"/>
      <c r="B61" s="452" t="s">
        <v>431</v>
      </c>
      <c r="C61" s="453">
        <v>3302</v>
      </c>
      <c r="D61" s="282">
        <v>100970.96</v>
      </c>
      <c r="E61" s="282">
        <v>0</v>
      </c>
      <c r="F61" s="282">
        <v>753749.2370066935</v>
      </c>
      <c r="G61" s="282">
        <v>769938</v>
      </c>
      <c r="H61" s="282">
        <v>33874</v>
      </c>
      <c r="I61" s="282">
        <v>23425</v>
      </c>
      <c r="J61" s="282">
        <v>0</v>
      </c>
      <c r="K61" s="282">
        <v>49805.95</v>
      </c>
      <c r="L61" s="282">
        <v>0</v>
      </c>
      <c r="M61" s="283">
        <v>0</v>
      </c>
      <c r="N61" s="283">
        <v>0</v>
      </c>
      <c r="O61" s="272">
        <f t="shared" si="2"/>
        <v>978013.9099999999</v>
      </c>
      <c r="P61" s="454">
        <v>893749.71</v>
      </c>
      <c r="Q61" s="282">
        <v>0</v>
      </c>
      <c r="R61" s="282">
        <v>7668.15</v>
      </c>
      <c r="S61" s="282">
        <v>17564</v>
      </c>
      <c r="T61" s="282">
        <v>59032.05</v>
      </c>
      <c r="U61" s="282">
        <v>0</v>
      </c>
      <c r="X61" s="455"/>
    </row>
    <row r="62" spans="1:24" ht="13.5" thickBot="1">
      <c r="A62" s="451"/>
      <c r="B62" s="452" t="s">
        <v>432</v>
      </c>
      <c r="C62" s="453">
        <v>3306</v>
      </c>
      <c r="D62" s="282">
        <v>128090.53</v>
      </c>
      <c r="E62" s="282">
        <v>0</v>
      </c>
      <c r="F62" s="282">
        <v>1334123.5713013425</v>
      </c>
      <c r="G62" s="282">
        <v>1359006</v>
      </c>
      <c r="H62" s="282">
        <v>75132</v>
      </c>
      <c r="I62" s="282">
        <v>118514</v>
      </c>
      <c r="J62" s="282">
        <v>0</v>
      </c>
      <c r="K62" s="282">
        <v>75184.69</v>
      </c>
      <c r="L62" s="282">
        <v>0</v>
      </c>
      <c r="M62" s="283">
        <v>0</v>
      </c>
      <c r="N62" s="283">
        <v>0</v>
      </c>
      <c r="O62" s="272">
        <f t="shared" si="2"/>
        <v>1755927.22</v>
      </c>
      <c r="P62" s="454">
        <v>1628077.31</v>
      </c>
      <c r="Q62" s="282">
        <v>0</v>
      </c>
      <c r="R62" s="282">
        <v>0</v>
      </c>
      <c r="S62" s="282">
        <v>27777.8</v>
      </c>
      <c r="T62" s="282">
        <v>100072.11</v>
      </c>
      <c r="U62" s="282">
        <v>0</v>
      </c>
      <c r="X62" s="455"/>
    </row>
    <row r="63" spans="1:24" ht="13.5" thickBot="1">
      <c r="A63" s="451"/>
      <c r="B63" s="452" t="s">
        <v>433</v>
      </c>
      <c r="C63" s="453">
        <v>3307</v>
      </c>
      <c r="D63" s="282">
        <v>51545.5</v>
      </c>
      <c r="E63" s="282">
        <v>0</v>
      </c>
      <c r="F63" s="282">
        <v>1341910.295014745</v>
      </c>
      <c r="G63" s="282">
        <v>1356204.53</v>
      </c>
      <c r="H63" s="282">
        <v>69768</v>
      </c>
      <c r="I63" s="282">
        <v>62787</v>
      </c>
      <c r="J63" s="282">
        <v>4478</v>
      </c>
      <c r="K63" s="282">
        <v>24856.61</v>
      </c>
      <c r="L63" s="282">
        <v>0</v>
      </c>
      <c r="M63" s="283">
        <v>0</v>
      </c>
      <c r="N63" s="283">
        <v>0</v>
      </c>
      <c r="O63" s="272">
        <f t="shared" si="2"/>
        <v>1569639.6400000001</v>
      </c>
      <c r="P63" s="454">
        <v>1550683.82</v>
      </c>
      <c r="Q63" s="282">
        <v>0</v>
      </c>
      <c r="R63" s="282">
        <v>0</v>
      </c>
      <c r="S63" s="282">
        <v>0</v>
      </c>
      <c r="T63" s="282">
        <v>18956.76</v>
      </c>
      <c r="U63" s="282">
        <v>0</v>
      </c>
      <c r="X63" s="455"/>
    </row>
    <row r="64" spans="1:24" ht="23.25" thickBot="1">
      <c r="A64" s="451"/>
      <c r="B64" s="452" t="s">
        <v>434</v>
      </c>
      <c r="C64" s="453">
        <v>3400</v>
      </c>
      <c r="D64" s="282">
        <v>101030.4</v>
      </c>
      <c r="E64" s="282">
        <v>0</v>
      </c>
      <c r="F64" s="282">
        <v>767051.1843681455</v>
      </c>
      <c r="G64" s="282">
        <v>788832</v>
      </c>
      <c r="H64" s="282">
        <v>34493.33</v>
      </c>
      <c r="I64" s="282">
        <v>23459</v>
      </c>
      <c r="J64" s="282">
        <v>0</v>
      </c>
      <c r="K64" s="282">
        <v>58346.55</v>
      </c>
      <c r="L64" s="282">
        <v>0</v>
      </c>
      <c r="M64" s="283">
        <v>0</v>
      </c>
      <c r="N64" s="283">
        <v>0</v>
      </c>
      <c r="O64" s="272">
        <f t="shared" si="2"/>
        <v>1006161.28</v>
      </c>
      <c r="P64" s="454">
        <v>961533.66</v>
      </c>
      <c r="Q64" s="282">
        <v>0</v>
      </c>
      <c r="R64" s="282">
        <v>0</v>
      </c>
      <c r="S64" s="282">
        <v>0</v>
      </c>
      <c r="T64" s="282">
        <v>44627.62</v>
      </c>
      <c r="U64" s="282">
        <v>0</v>
      </c>
      <c r="X64" s="455"/>
    </row>
    <row r="65" spans="1:24" ht="23.25" thickBot="1">
      <c r="A65" s="451"/>
      <c r="B65" s="452" t="s">
        <v>435</v>
      </c>
      <c r="C65" s="453">
        <v>3401</v>
      </c>
      <c r="D65" s="282">
        <v>167114.63</v>
      </c>
      <c r="E65" s="282">
        <v>0</v>
      </c>
      <c r="F65" s="282">
        <v>1866280.3537319275</v>
      </c>
      <c r="G65" s="282">
        <v>1863996</v>
      </c>
      <c r="H65" s="282">
        <v>128492</v>
      </c>
      <c r="I65" s="282">
        <v>52429</v>
      </c>
      <c r="J65" s="282">
        <v>0</v>
      </c>
      <c r="K65" s="282">
        <v>36020.61</v>
      </c>
      <c r="L65" s="282">
        <v>0</v>
      </c>
      <c r="M65" s="283">
        <v>0</v>
      </c>
      <c r="N65" s="283">
        <v>0</v>
      </c>
      <c r="O65" s="272">
        <f t="shared" si="2"/>
        <v>2248052.24</v>
      </c>
      <c r="P65" s="454">
        <v>1948546.12</v>
      </c>
      <c r="Q65" s="282">
        <v>0</v>
      </c>
      <c r="R65" s="282">
        <v>0</v>
      </c>
      <c r="S65" s="282">
        <v>0</v>
      </c>
      <c r="T65" s="282">
        <v>299506.12</v>
      </c>
      <c r="U65" s="282">
        <v>0</v>
      </c>
      <c r="X65" s="455"/>
    </row>
    <row r="66" spans="1:24" ht="13.5" thickBot="1">
      <c r="A66" s="451"/>
      <c r="B66" s="452" t="s">
        <v>436</v>
      </c>
      <c r="C66" s="453">
        <v>3402</v>
      </c>
      <c r="D66" s="282">
        <v>112038.24</v>
      </c>
      <c r="E66" s="282">
        <v>0</v>
      </c>
      <c r="F66" s="282">
        <v>1287756.7159792485</v>
      </c>
      <c r="G66" s="282">
        <v>1311892</v>
      </c>
      <c r="H66" s="282">
        <v>52418</v>
      </c>
      <c r="I66" s="282">
        <v>46575</v>
      </c>
      <c r="J66" s="282">
        <v>0</v>
      </c>
      <c r="K66" s="282">
        <v>151421.07</v>
      </c>
      <c r="L66" s="282">
        <v>0</v>
      </c>
      <c r="M66" s="283">
        <v>0</v>
      </c>
      <c r="N66" s="283">
        <v>0</v>
      </c>
      <c r="O66" s="272">
        <f t="shared" si="2"/>
        <v>1674344.31</v>
      </c>
      <c r="P66" s="454">
        <v>1539674.54</v>
      </c>
      <c r="Q66" s="282">
        <v>0</v>
      </c>
      <c r="R66" s="282">
        <v>0</v>
      </c>
      <c r="S66" s="282">
        <v>46092.47</v>
      </c>
      <c r="T66" s="282">
        <v>88577.3</v>
      </c>
      <c r="U66" s="282">
        <v>0</v>
      </c>
      <c r="X66" s="455"/>
    </row>
    <row r="67" spans="1:24" ht="13.5" thickBot="1">
      <c r="A67" s="451"/>
      <c r="B67" s="452" t="s">
        <v>437</v>
      </c>
      <c r="C67" s="453">
        <v>3403</v>
      </c>
      <c r="D67" s="282">
        <v>29998.32</v>
      </c>
      <c r="E67" s="282">
        <v>0</v>
      </c>
      <c r="F67" s="282">
        <v>785730.7144045901</v>
      </c>
      <c r="G67" s="282">
        <v>784943</v>
      </c>
      <c r="H67" s="282">
        <v>55486</v>
      </c>
      <c r="I67" s="282">
        <v>24946</v>
      </c>
      <c r="J67" s="282">
        <v>3440.58</v>
      </c>
      <c r="K67" s="282">
        <v>25947.2</v>
      </c>
      <c r="L67" s="282">
        <v>0</v>
      </c>
      <c r="M67" s="283">
        <v>0</v>
      </c>
      <c r="N67" s="283">
        <v>0</v>
      </c>
      <c r="O67" s="272">
        <f t="shared" si="2"/>
        <v>924761.0999999999</v>
      </c>
      <c r="P67" s="454">
        <v>890863.53</v>
      </c>
      <c r="Q67" s="282">
        <v>0</v>
      </c>
      <c r="R67" s="282">
        <v>0</v>
      </c>
      <c r="S67" s="282">
        <v>0</v>
      </c>
      <c r="T67" s="282">
        <v>33897.57</v>
      </c>
      <c r="U67" s="282">
        <v>0</v>
      </c>
      <c r="X67" s="455"/>
    </row>
    <row r="68" spans="1:24" ht="13.5" thickBot="1">
      <c r="A68" s="451"/>
      <c r="B68" s="452" t="s">
        <v>438</v>
      </c>
      <c r="C68" s="453">
        <v>3404</v>
      </c>
      <c r="D68" s="282">
        <v>92206.42</v>
      </c>
      <c r="E68" s="282">
        <v>0</v>
      </c>
      <c r="F68" s="282">
        <v>808616.0191666739</v>
      </c>
      <c r="G68" s="282">
        <v>827061</v>
      </c>
      <c r="H68" s="282">
        <v>45971</v>
      </c>
      <c r="I68" s="282">
        <v>28926</v>
      </c>
      <c r="J68" s="282">
        <v>0</v>
      </c>
      <c r="K68" s="282">
        <v>32764.27</v>
      </c>
      <c r="L68" s="282">
        <v>0</v>
      </c>
      <c r="M68" s="283">
        <v>8000</v>
      </c>
      <c r="N68" s="283">
        <v>0</v>
      </c>
      <c r="O68" s="272">
        <f t="shared" si="2"/>
        <v>1034928.6900000001</v>
      </c>
      <c r="P68" s="454">
        <v>972767.48</v>
      </c>
      <c r="Q68" s="282">
        <v>8000</v>
      </c>
      <c r="R68" s="282">
        <v>0</v>
      </c>
      <c r="S68" s="282">
        <v>0</v>
      </c>
      <c r="T68" s="282">
        <v>54161.21</v>
      </c>
      <c r="U68" s="282">
        <v>0</v>
      </c>
      <c r="X68" s="455"/>
    </row>
    <row r="69" spans="1:24" ht="13.5" thickBot="1">
      <c r="A69" s="451"/>
      <c r="B69" s="452" t="s">
        <v>439</v>
      </c>
      <c r="C69" s="453">
        <v>3405</v>
      </c>
      <c r="D69" s="282">
        <v>124703.3</v>
      </c>
      <c r="E69" s="282">
        <v>0</v>
      </c>
      <c r="F69" s="282">
        <v>1490799.6801176397</v>
      </c>
      <c r="G69" s="282">
        <v>1508822</v>
      </c>
      <c r="H69" s="282">
        <v>92514</v>
      </c>
      <c r="I69" s="282">
        <v>56063.1</v>
      </c>
      <c r="J69" s="282">
        <v>3688</v>
      </c>
      <c r="K69" s="282">
        <v>49107.41</v>
      </c>
      <c r="L69" s="282">
        <v>0</v>
      </c>
      <c r="M69" s="283">
        <v>0</v>
      </c>
      <c r="N69" s="283">
        <v>2750</v>
      </c>
      <c r="O69" s="272">
        <f t="shared" si="2"/>
        <v>1837647.81</v>
      </c>
      <c r="P69" s="454">
        <v>1745131.32</v>
      </c>
      <c r="Q69" s="282">
        <v>0</v>
      </c>
      <c r="R69" s="282">
        <v>0</v>
      </c>
      <c r="S69" s="282">
        <v>18997.53</v>
      </c>
      <c r="T69" s="282">
        <v>70768.96</v>
      </c>
      <c r="U69" s="282">
        <v>2750</v>
      </c>
      <c r="X69" s="455"/>
    </row>
    <row r="70" spans="1:24" ht="13.5" thickBot="1">
      <c r="A70" s="451"/>
      <c r="B70" s="452" t="s">
        <v>440</v>
      </c>
      <c r="C70" s="453">
        <v>3409</v>
      </c>
      <c r="D70" s="282">
        <v>-58624.14</v>
      </c>
      <c r="E70" s="282">
        <v>0</v>
      </c>
      <c r="F70" s="282">
        <v>979818.8508440001</v>
      </c>
      <c r="G70" s="282">
        <v>1009277</v>
      </c>
      <c r="H70" s="282">
        <v>35713.82</v>
      </c>
      <c r="I70" s="282">
        <v>34617</v>
      </c>
      <c r="J70" s="282">
        <v>4474</v>
      </c>
      <c r="K70" s="282">
        <v>101465.22</v>
      </c>
      <c r="L70" s="282">
        <v>0</v>
      </c>
      <c r="M70" s="283">
        <v>0</v>
      </c>
      <c r="N70" s="283">
        <v>0</v>
      </c>
      <c r="O70" s="272">
        <f t="shared" si="2"/>
        <v>1126922.9</v>
      </c>
      <c r="P70" s="454">
        <v>1095390.51</v>
      </c>
      <c r="Q70" s="282">
        <v>0</v>
      </c>
      <c r="R70" s="282">
        <v>0</v>
      </c>
      <c r="S70" s="282">
        <v>0</v>
      </c>
      <c r="T70" s="282">
        <v>31532.39</v>
      </c>
      <c r="U70" s="282">
        <v>0</v>
      </c>
      <c r="X70" s="455"/>
    </row>
    <row r="71" spans="1:24" ht="23.25" thickBot="1">
      <c r="A71" s="451"/>
      <c r="B71" s="452" t="s">
        <v>441</v>
      </c>
      <c r="C71" s="453">
        <v>3410</v>
      </c>
      <c r="D71" s="282">
        <v>266851.28</v>
      </c>
      <c r="E71" s="282">
        <v>0</v>
      </c>
      <c r="F71" s="282">
        <v>1339083.6451324867</v>
      </c>
      <c r="G71" s="282">
        <v>1360004</v>
      </c>
      <c r="H71" s="282">
        <v>51769</v>
      </c>
      <c r="I71" s="282">
        <v>118081</v>
      </c>
      <c r="J71" s="282">
        <v>15000</v>
      </c>
      <c r="K71" s="282">
        <v>31374.95</v>
      </c>
      <c r="L71" s="282">
        <v>0</v>
      </c>
      <c r="M71" s="283">
        <v>0</v>
      </c>
      <c r="N71" s="283">
        <v>0</v>
      </c>
      <c r="O71" s="272">
        <f t="shared" si="2"/>
        <v>1843080.23</v>
      </c>
      <c r="P71" s="454">
        <v>1454402.75</v>
      </c>
      <c r="Q71" s="282">
        <v>0</v>
      </c>
      <c r="R71" s="282">
        <v>0</v>
      </c>
      <c r="S71" s="282">
        <v>289000</v>
      </c>
      <c r="T71" s="282">
        <v>99677.48</v>
      </c>
      <c r="U71" s="282">
        <v>0</v>
      </c>
      <c r="X71" s="455"/>
    </row>
    <row r="72" spans="1:24" ht="13.5" thickBot="1">
      <c r="A72" s="451"/>
      <c r="B72" s="452" t="s">
        <v>442</v>
      </c>
      <c r="C72" s="453">
        <v>5200</v>
      </c>
      <c r="D72" s="282">
        <v>291256.81</v>
      </c>
      <c r="E72" s="282">
        <v>0</v>
      </c>
      <c r="F72" s="282">
        <v>1070367.5473587548</v>
      </c>
      <c r="G72" s="282">
        <v>1033116</v>
      </c>
      <c r="H72" s="282">
        <v>80805</v>
      </c>
      <c r="I72" s="282">
        <v>25258</v>
      </c>
      <c r="J72" s="282">
        <v>0</v>
      </c>
      <c r="K72" s="282">
        <v>44791.25</v>
      </c>
      <c r="L72" s="282">
        <v>0</v>
      </c>
      <c r="M72" s="283">
        <v>0</v>
      </c>
      <c r="N72" s="283">
        <v>0</v>
      </c>
      <c r="O72" s="272">
        <f t="shared" si="2"/>
        <v>1475227.06</v>
      </c>
      <c r="P72" s="454">
        <v>1316366.22</v>
      </c>
      <c r="Q72" s="282">
        <v>0</v>
      </c>
      <c r="R72" s="282">
        <v>0</v>
      </c>
      <c r="S72" s="282">
        <v>80961</v>
      </c>
      <c r="T72" s="282">
        <v>77899.84</v>
      </c>
      <c r="U72" s="282">
        <v>0</v>
      </c>
      <c r="X72" s="455"/>
    </row>
    <row r="73" spans="1:24" ht="13.5" thickBot="1">
      <c r="A73" s="451"/>
      <c r="B73" s="452" t="s">
        <v>443</v>
      </c>
      <c r="C73" s="453">
        <v>5201</v>
      </c>
      <c r="D73" s="282">
        <v>156527.17</v>
      </c>
      <c r="E73" s="282">
        <v>0</v>
      </c>
      <c r="F73" s="282">
        <v>1079161.0477483075</v>
      </c>
      <c r="G73" s="282">
        <v>1072956.61</v>
      </c>
      <c r="H73" s="282">
        <v>114760</v>
      </c>
      <c r="I73" s="282">
        <v>58675</v>
      </c>
      <c r="J73" s="282">
        <v>0</v>
      </c>
      <c r="K73" s="282">
        <v>41393.06</v>
      </c>
      <c r="L73" s="282">
        <v>0</v>
      </c>
      <c r="M73" s="283">
        <v>0</v>
      </c>
      <c r="N73" s="283">
        <v>0</v>
      </c>
      <c r="O73" s="272">
        <f t="shared" si="2"/>
        <v>1444311.84</v>
      </c>
      <c r="P73" s="454">
        <v>1341683.8</v>
      </c>
      <c r="Q73" s="282">
        <v>0</v>
      </c>
      <c r="R73" s="282">
        <v>0</v>
      </c>
      <c r="S73" s="282">
        <v>0</v>
      </c>
      <c r="T73" s="282">
        <v>102628.04</v>
      </c>
      <c r="U73" s="282">
        <v>0</v>
      </c>
      <c r="X73" s="455"/>
    </row>
    <row r="74" spans="1:24" ht="13.5" thickBot="1">
      <c r="A74" s="451"/>
      <c r="B74" s="452" t="s">
        <v>444</v>
      </c>
      <c r="C74" s="453">
        <v>5202</v>
      </c>
      <c r="D74" s="282">
        <v>129743.98</v>
      </c>
      <c r="E74" s="282">
        <v>0</v>
      </c>
      <c r="F74" s="282">
        <v>1027643.5775150241</v>
      </c>
      <c r="G74" s="282">
        <v>1058148</v>
      </c>
      <c r="H74" s="282">
        <v>49166</v>
      </c>
      <c r="I74" s="282">
        <v>101859</v>
      </c>
      <c r="J74" s="282">
        <v>0</v>
      </c>
      <c r="K74" s="282">
        <v>36213.98</v>
      </c>
      <c r="L74" s="282">
        <v>0</v>
      </c>
      <c r="M74" s="283">
        <v>0</v>
      </c>
      <c r="N74" s="283">
        <v>0</v>
      </c>
      <c r="O74" s="272">
        <f t="shared" si="2"/>
        <v>1375130.96</v>
      </c>
      <c r="P74" s="454">
        <v>1300494.07</v>
      </c>
      <c r="Q74" s="282">
        <v>0</v>
      </c>
      <c r="R74" s="282">
        <v>0</v>
      </c>
      <c r="S74" s="282">
        <v>0</v>
      </c>
      <c r="T74" s="282">
        <v>74636.89</v>
      </c>
      <c r="U74" s="282">
        <v>0</v>
      </c>
      <c r="X74" s="455"/>
    </row>
    <row r="75" spans="1:24" ht="23.25" thickBot="1">
      <c r="A75" s="451"/>
      <c r="B75" s="452" t="s">
        <v>445</v>
      </c>
      <c r="C75" s="453">
        <v>5203</v>
      </c>
      <c r="D75" s="282">
        <v>123508.16</v>
      </c>
      <c r="E75" s="282">
        <v>0</v>
      </c>
      <c r="F75" s="282">
        <v>1109895.9059854758</v>
      </c>
      <c r="G75" s="282">
        <v>1029599</v>
      </c>
      <c r="H75" s="282">
        <v>150224</v>
      </c>
      <c r="I75" s="282">
        <v>56618</v>
      </c>
      <c r="J75" s="282">
        <v>0</v>
      </c>
      <c r="K75" s="282">
        <v>105341.13</v>
      </c>
      <c r="L75" s="282">
        <v>0</v>
      </c>
      <c r="M75" s="283">
        <v>0</v>
      </c>
      <c r="N75" s="283">
        <v>0</v>
      </c>
      <c r="O75" s="272">
        <f t="shared" si="2"/>
        <v>1465290.2899999998</v>
      </c>
      <c r="P75" s="454">
        <v>1312753.61</v>
      </c>
      <c r="Q75" s="282">
        <v>0</v>
      </c>
      <c r="R75" s="282">
        <v>20000</v>
      </c>
      <c r="S75" s="282">
        <v>0</v>
      </c>
      <c r="T75" s="282">
        <v>132536.68</v>
      </c>
      <c r="U75" s="282">
        <v>0</v>
      </c>
      <c r="X75" s="455"/>
    </row>
    <row r="76" spans="1:24" ht="13.5" thickBot="1">
      <c r="A76" s="451"/>
      <c r="B76" s="452" t="s">
        <v>446</v>
      </c>
      <c r="C76" s="453">
        <v>5204</v>
      </c>
      <c r="D76" s="282">
        <v>42053.56</v>
      </c>
      <c r="E76" s="282">
        <v>0</v>
      </c>
      <c r="F76" s="282">
        <v>726664.6844699876</v>
      </c>
      <c r="G76" s="282">
        <v>734129</v>
      </c>
      <c r="H76" s="282">
        <v>39975</v>
      </c>
      <c r="I76" s="282">
        <v>22378</v>
      </c>
      <c r="J76" s="282">
        <v>0</v>
      </c>
      <c r="K76" s="282">
        <v>33715.57</v>
      </c>
      <c r="L76" s="282">
        <v>0</v>
      </c>
      <c r="M76" s="283">
        <v>0</v>
      </c>
      <c r="N76" s="283">
        <v>0</v>
      </c>
      <c r="O76" s="272">
        <f t="shared" si="2"/>
        <v>872251.1299999999</v>
      </c>
      <c r="P76" s="454">
        <v>852368.84</v>
      </c>
      <c r="Q76" s="282">
        <v>0</v>
      </c>
      <c r="R76" s="282">
        <v>0</v>
      </c>
      <c r="S76" s="282">
        <v>0</v>
      </c>
      <c r="T76" s="282">
        <v>19882.29</v>
      </c>
      <c r="U76" s="282">
        <v>0</v>
      </c>
      <c r="X76" s="455"/>
    </row>
    <row r="77" spans="1:24" ht="13.5" thickBot="1">
      <c r="A77" s="451"/>
      <c r="B77" s="452" t="s">
        <v>447</v>
      </c>
      <c r="C77" s="453">
        <v>5205</v>
      </c>
      <c r="D77" s="282">
        <v>86200.03</v>
      </c>
      <c r="E77" s="282">
        <v>0</v>
      </c>
      <c r="F77" s="282">
        <v>764338.5528776441</v>
      </c>
      <c r="G77" s="282">
        <v>790119</v>
      </c>
      <c r="H77" s="282">
        <v>37285</v>
      </c>
      <c r="I77" s="282">
        <v>34613</v>
      </c>
      <c r="J77" s="282">
        <v>0</v>
      </c>
      <c r="K77" s="282">
        <v>17702.32</v>
      </c>
      <c r="L77" s="282">
        <v>0</v>
      </c>
      <c r="M77" s="283">
        <v>0</v>
      </c>
      <c r="N77" s="283">
        <v>0</v>
      </c>
      <c r="O77" s="272">
        <f t="shared" si="2"/>
        <v>965919.35</v>
      </c>
      <c r="P77" s="454">
        <v>899413.01</v>
      </c>
      <c r="Q77" s="282">
        <v>0</v>
      </c>
      <c r="R77" s="282">
        <v>0</v>
      </c>
      <c r="S77" s="282">
        <v>16546.85</v>
      </c>
      <c r="T77" s="282">
        <v>49959.49</v>
      </c>
      <c r="U77" s="282">
        <v>0</v>
      </c>
      <c r="X77" s="455"/>
    </row>
    <row r="78" spans="1:24" ht="13.5" thickBot="1">
      <c r="A78" s="451"/>
      <c r="B78" s="452" t="s">
        <v>448</v>
      </c>
      <c r="C78" s="453">
        <v>5206</v>
      </c>
      <c r="D78" s="282">
        <v>327952.52</v>
      </c>
      <c r="E78" s="282">
        <v>0</v>
      </c>
      <c r="F78" s="282">
        <v>1494271.7885997733</v>
      </c>
      <c r="G78" s="282">
        <v>1478254</v>
      </c>
      <c r="H78" s="282">
        <v>117457</v>
      </c>
      <c r="I78" s="282">
        <v>86968</v>
      </c>
      <c r="J78" s="282">
        <v>0</v>
      </c>
      <c r="K78" s="282">
        <v>92308.24</v>
      </c>
      <c r="L78" s="282">
        <v>0</v>
      </c>
      <c r="M78" s="283">
        <v>0</v>
      </c>
      <c r="N78" s="283">
        <v>0</v>
      </c>
      <c r="O78" s="272">
        <f t="shared" si="2"/>
        <v>2102939.76</v>
      </c>
      <c r="P78" s="454">
        <v>1740341.97</v>
      </c>
      <c r="Q78" s="282">
        <v>0</v>
      </c>
      <c r="R78" s="282">
        <v>0</v>
      </c>
      <c r="S78" s="282">
        <v>0</v>
      </c>
      <c r="T78" s="282">
        <v>362597.79</v>
      </c>
      <c r="U78" s="282">
        <v>0</v>
      </c>
      <c r="X78" s="455"/>
    </row>
    <row r="79" spans="1:24" ht="13.5" thickBot="1">
      <c r="A79" s="451"/>
      <c r="B79" s="452" t="s">
        <v>449</v>
      </c>
      <c r="C79" s="453">
        <v>5208</v>
      </c>
      <c r="D79" s="282">
        <v>61293.16</v>
      </c>
      <c r="E79" s="282">
        <v>0</v>
      </c>
      <c r="F79" s="282">
        <v>730577.7640202551</v>
      </c>
      <c r="G79" s="282">
        <v>751782</v>
      </c>
      <c r="H79" s="282">
        <v>18670</v>
      </c>
      <c r="I79" s="282">
        <v>26174</v>
      </c>
      <c r="J79" s="282">
        <v>0</v>
      </c>
      <c r="K79" s="282">
        <v>19038.24</v>
      </c>
      <c r="L79" s="282">
        <v>0</v>
      </c>
      <c r="M79" s="283">
        <v>0</v>
      </c>
      <c r="N79" s="283">
        <v>0</v>
      </c>
      <c r="O79" s="272">
        <f t="shared" si="2"/>
        <v>876957.4</v>
      </c>
      <c r="P79" s="454">
        <v>861404.81</v>
      </c>
      <c r="Q79" s="282">
        <v>0</v>
      </c>
      <c r="R79" s="282">
        <v>0</v>
      </c>
      <c r="S79" s="282">
        <v>0</v>
      </c>
      <c r="T79" s="282">
        <v>15552.59</v>
      </c>
      <c r="U79" s="282">
        <v>0</v>
      </c>
      <c r="X79" s="455"/>
    </row>
    <row r="80" spans="1:24" ht="13.5" thickBot="1">
      <c r="A80" s="451"/>
      <c r="B80" s="452" t="s">
        <v>450</v>
      </c>
      <c r="C80" s="453">
        <v>5211</v>
      </c>
      <c r="D80" s="282">
        <v>205546.9</v>
      </c>
      <c r="E80" s="282">
        <v>0</v>
      </c>
      <c r="F80" s="282">
        <v>2201855.885912605</v>
      </c>
      <c r="G80" s="282">
        <v>2055017</v>
      </c>
      <c r="H80" s="282">
        <v>292415.5</v>
      </c>
      <c r="I80" s="282">
        <v>120638</v>
      </c>
      <c r="J80" s="282">
        <v>0</v>
      </c>
      <c r="K80" s="282">
        <v>142492.16</v>
      </c>
      <c r="L80" s="282">
        <v>0</v>
      </c>
      <c r="M80" s="283">
        <v>0</v>
      </c>
      <c r="N80" s="283">
        <v>1160</v>
      </c>
      <c r="O80" s="272">
        <f>SUM(D80:E80)+SUM(G80:N80)</f>
        <v>2817269.56</v>
      </c>
      <c r="P80" s="454">
        <v>2550052.53</v>
      </c>
      <c r="Q80" s="282">
        <v>0</v>
      </c>
      <c r="R80" s="282">
        <v>0</v>
      </c>
      <c r="S80" s="282">
        <v>117188</v>
      </c>
      <c r="T80" s="282">
        <v>148869.03</v>
      </c>
      <c r="U80" s="282">
        <v>1160</v>
      </c>
      <c r="X80" s="455"/>
    </row>
    <row r="81" ht="12.75">
      <c r="X81" s="50"/>
    </row>
    <row r="82" ht="13.5" thickBot="1">
      <c r="B82" s="261" t="s">
        <v>451</v>
      </c>
    </row>
    <row r="83" spans="1:24" ht="13.5" thickBot="1">
      <c r="A83" s="451"/>
      <c r="B83" s="452"/>
      <c r="C83" s="453"/>
      <c r="D83" s="282"/>
      <c r="E83" s="282"/>
      <c r="F83" s="282"/>
      <c r="G83" s="282"/>
      <c r="H83" s="282"/>
      <c r="I83" s="282"/>
      <c r="J83" s="282"/>
      <c r="K83" s="282"/>
      <c r="L83" s="282"/>
      <c r="M83" s="283"/>
      <c r="N83" s="283"/>
      <c r="O83" s="272">
        <f>SUM(D83:E83)+SUM(G83:N83)</f>
        <v>0</v>
      </c>
      <c r="P83" s="454"/>
      <c r="Q83" s="282"/>
      <c r="R83" s="282"/>
      <c r="S83" s="282"/>
      <c r="T83" s="282"/>
      <c r="U83" s="282"/>
      <c r="X83" s="29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84" ht="13.5" thickBot="1"/>
    <row r="85" spans="2:24" ht="13.5" thickBot="1">
      <c r="B85" s="281" t="s">
        <v>452</v>
      </c>
      <c r="D85" s="252">
        <f aca="true" t="shared" si="3" ref="D85:K85">SUM(D16:D84)</f>
        <v>8807294.960000003</v>
      </c>
      <c r="E85" s="252">
        <f t="shared" si="3"/>
        <v>0</v>
      </c>
      <c r="F85" s="252">
        <f t="shared" si="3"/>
        <v>77766439.77751279</v>
      </c>
      <c r="G85" s="252">
        <f t="shared" si="3"/>
        <v>77445290.25</v>
      </c>
      <c r="H85" s="251">
        <f t="shared" si="3"/>
        <v>5837601.34</v>
      </c>
      <c r="I85" s="252">
        <f t="shared" si="3"/>
        <v>4446624.57</v>
      </c>
      <c r="J85" s="252">
        <f t="shared" si="3"/>
        <v>35737.58</v>
      </c>
      <c r="K85" s="252">
        <f t="shared" si="3"/>
        <v>3540037.4000000004</v>
      </c>
      <c r="L85" s="252">
        <f>SUM(L16:L84)</f>
        <v>170131.26</v>
      </c>
      <c r="M85" s="252">
        <f>SUM(M16:M84)</f>
        <v>20568.35</v>
      </c>
      <c r="N85" s="252">
        <f>SUM(N16:N84)</f>
        <v>6700</v>
      </c>
      <c r="O85" s="252">
        <f>SUM(D85:E85)+SUM(G85:N85)</f>
        <v>100309985.71000001</v>
      </c>
      <c r="P85" s="252">
        <f aca="true" t="shared" si="4" ref="P85:U85">SUM(P16:P84)</f>
        <v>92413719.89999999</v>
      </c>
      <c r="Q85" s="252">
        <f t="shared" si="4"/>
        <v>11490</v>
      </c>
      <c r="R85" s="252">
        <f t="shared" si="4"/>
        <v>183806.05</v>
      </c>
      <c r="S85" s="252">
        <f t="shared" si="4"/>
        <v>1433256.3800000001</v>
      </c>
      <c r="T85" s="252">
        <f t="shared" si="4"/>
        <v>6251935.97</v>
      </c>
      <c r="U85" s="252">
        <f t="shared" si="4"/>
        <v>15778.35</v>
      </c>
      <c r="X85" s="29" t="e">
        <f>IF(LEN(TRIM(#REF!&amp;#REF!&amp;#REF!&amp;#REF!&amp;#REF!&amp;#REF!&amp;#REF!&amp;#REF!&amp;#REF!&amp;#REF!&amp;#REF!&amp;#REF!&amp;#REF!&amp;#REF!&amp;#REF!&amp;#REF!&amp;#REF!))&gt;0,1,0)</f>
        <v>#REF!</v>
      </c>
    </row>
    <row r="87" ht="13.5" thickBot="1">
      <c r="B87" s="261" t="s">
        <v>453</v>
      </c>
    </row>
    <row r="88" spans="1:24" ht="13.5" thickBot="1">
      <c r="A88" s="451"/>
      <c r="B88" s="452" t="s">
        <v>454</v>
      </c>
      <c r="C88" s="453">
        <v>4023</v>
      </c>
      <c r="D88" s="282">
        <v>173249.91</v>
      </c>
      <c r="E88" s="282">
        <v>0</v>
      </c>
      <c r="F88" s="282">
        <v>1207865.0625274025</v>
      </c>
      <c r="G88" s="282">
        <v>1304529.48</v>
      </c>
      <c r="H88" s="282">
        <v>60164</v>
      </c>
      <c r="I88" s="282">
        <v>191985</v>
      </c>
      <c r="J88" s="282">
        <v>0</v>
      </c>
      <c r="K88" s="282">
        <v>263821.14</v>
      </c>
      <c r="L88" s="282">
        <v>0</v>
      </c>
      <c r="M88" s="283">
        <v>0</v>
      </c>
      <c r="N88" s="283">
        <v>0</v>
      </c>
      <c r="O88" s="272">
        <f aca="true" t="shared" si="5" ref="O88:O103">SUM(D88:E88)+SUM(G88:N88)</f>
        <v>1993749.53</v>
      </c>
      <c r="P88" s="454">
        <v>2020338.74</v>
      </c>
      <c r="Q88" s="282">
        <v>0</v>
      </c>
      <c r="R88" s="282">
        <v>0</v>
      </c>
      <c r="S88" s="282">
        <v>0</v>
      </c>
      <c r="T88" s="282">
        <v>-26589.21</v>
      </c>
      <c r="U88" s="282">
        <v>0</v>
      </c>
      <c r="X88" s="29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89" spans="1:24" ht="23.25" thickBot="1">
      <c r="A89" s="451"/>
      <c r="B89" s="452" t="s">
        <v>455</v>
      </c>
      <c r="C89" s="453">
        <v>4600</v>
      </c>
      <c r="D89" s="282">
        <v>331006.97</v>
      </c>
      <c r="E89" s="282">
        <v>0</v>
      </c>
      <c r="F89" s="282">
        <v>5198964.794889775</v>
      </c>
      <c r="G89" s="282">
        <v>5320452</v>
      </c>
      <c r="H89" s="282">
        <v>115399.29</v>
      </c>
      <c r="I89" s="282">
        <v>237814</v>
      </c>
      <c r="J89" s="282">
        <v>4512</v>
      </c>
      <c r="K89" s="282">
        <v>212976.2</v>
      </c>
      <c r="L89" s="282">
        <v>0</v>
      </c>
      <c r="M89" s="283">
        <v>0</v>
      </c>
      <c r="N89" s="283">
        <v>0</v>
      </c>
      <c r="O89" s="272">
        <f t="shared" si="5"/>
        <v>6222160.46</v>
      </c>
      <c r="P89" s="454">
        <v>6101892</v>
      </c>
      <c r="Q89" s="282">
        <v>0</v>
      </c>
      <c r="R89" s="282">
        <v>0</v>
      </c>
      <c r="S89" s="282">
        <v>0</v>
      </c>
      <c r="T89" s="282">
        <v>120268.46</v>
      </c>
      <c r="U89" s="282">
        <v>0</v>
      </c>
      <c r="X89" s="456"/>
    </row>
    <row r="90" spans="1:24" ht="23.25" thickBot="1">
      <c r="A90" s="451"/>
      <c r="B90" s="452" t="s">
        <v>456</v>
      </c>
      <c r="C90" s="453">
        <v>4654</v>
      </c>
      <c r="D90" s="282">
        <v>97048.41</v>
      </c>
      <c r="E90" s="282">
        <v>0</v>
      </c>
      <c r="F90" s="282">
        <v>2365266.7361709233</v>
      </c>
      <c r="G90" s="282">
        <v>2521722</v>
      </c>
      <c r="H90" s="282">
        <v>47784.03</v>
      </c>
      <c r="I90" s="282">
        <v>155560</v>
      </c>
      <c r="J90" s="282">
        <v>9977</v>
      </c>
      <c r="K90" s="282">
        <v>358941.5</v>
      </c>
      <c r="L90" s="282">
        <v>0</v>
      </c>
      <c r="M90" s="283">
        <v>144708</v>
      </c>
      <c r="N90" s="283">
        <v>88840</v>
      </c>
      <c r="O90" s="272">
        <f t="shared" si="5"/>
        <v>3424580.94</v>
      </c>
      <c r="P90" s="454">
        <v>2841966.42</v>
      </c>
      <c r="Q90" s="282">
        <v>117085.25</v>
      </c>
      <c r="R90" s="282">
        <v>0</v>
      </c>
      <c r="S90" s="282">
        <v>252018.11</v>
      </c>
      <c r="T90" s="282">
        <v>97048.41</v>
      </c>
      <c r="U90" s="282">
        <v>116462.75</v>
      </c>
      <c r="X90" s="456"/>
    </row>
    <row r="91" spans="1:24" ht="13.5" thickBot="1">
      <c r="A91" s="451"/>
      <c r="B91" s="452" t="s">
        <v>457</v>
      </c>
      <c r="C91" s="453">
        <v>5400</v>
      </c>
      <c r="D91" s="282">
        <v>200311.67</v>
      </c>
      <c r="E91" s="282">
        <v>12395.11</v>
      </c>
      <c r="F91" s="282">
        <v>5645255.272011758</v>
      </c>
      <c r="G91" s="282">
        <v>5583073</v>
      </c>
      <c r="H91" s="282">
        <v>382942.51</v>
      </c>
      <c r="I91" s="282">
        <v>316312</v>
      </c>
      <c r="J91" s="282">
        <v>30801</v>
      </c>
      <c r="K91" s="282">
        <v>450629.55</v>
      </c>
      <c r="L91" s="282">
        <v>0</v>
      </c>
      <c r="M91" s="283">
        <v>0</v>
      </c>
      <c r="N91" s="283">
        <v>46435.85</v>
      </c>
      <c r="O91" s="272">
        <f t="shared" si="5"/>
        <v>7022900.6899999995</v>
      </c>
      <c r="P91" s="454">
        <v>6380459.67</v>
      </c>
      <c r="Q91" s="282">
        <v>21999.96</v>
      </c>
      <c r="R91" s="282">
        <v>160984.09</v>
      </c>
      <c r="S91" s="282">
        <v>254019.12</v>
      </c>
      <c r="T91" s="282">
        <v>168606.85</v>
      </c>
      <c r="U91" s="282">
        <v>36831</v>
      </c>
      <c r="X91" s="456"/>
    </row>
    <row r="92" spans="1:24" ht="13.5" thickBot="1">
      <c r="A92" s="451"/>
      <c r="B92" s="452" t="s">
        <v>458</v>
      </c>
      <c r="C92" s="453">
        <v>5401</v>
      </c>
      <c r="D92" s="282">
        <v>226093.3</v>
      </c>
      <c r="E92" s="282">
        <v>0</v>
      </c>
      <c r="F92" s="282">
        <v>8934101.698121114</v>
      </c>
      <c r="G92" s="282">
        <v>9115233.3</v>
      </c>
      <c r="H92" s="282">
        <v>179615</v>
      </c>
      <c r="I92" s="282">
        <v>446147</v>
      </c>
      <c r="J92" s="282">
        <v>28942</v>
      </c>
      <c r="K92" s="282">
        <v>461378.13</v>
      </c>
      <c r="L92" s="282">
        <v>0</v>
      </c>
      <c r="M92" s="283">
        <v>0</v>
      </c>
      <c r="N92" s="283">
        <v>0</v>
      </c>
      <c r="O92" s="272">
        <f t="shared" si="5"/>
        <v>10457408.730000002</v>
      </c>
      <c r="P92" s="454">
        <v>9922148.72</v>
      </c>
      <c r="Q92" s="282">
        <v>0</v>
      </c>
      <c r="R92" s="282">
        <v>10757.84</v>
      </c>
      <c r="S92" s="282">
        <v>142027.37</v>
      </c>
      <c r="T92" s="282">
        <v>382475.29</v>
      </c>
      <c r="U92" s="282">
        <v>0</v>
      </c>
      <c r="X92" s="456"/>
    </row>
    <row r="93" spans="1:24" ht="13.5" thickBot="1">
      <c r="A93" s="451"/>
      <c r="B93" s="452" t="s">
        <v>459</v>
      </c>
      <c r="C93" s="453">
        <v>5402</v>
      </c>
      <c r="D93" s="282">
        <v>679352</v>
      </c>
      <c r="E93" s="282">
        <v>0</v>
      </c>
      <c r="F93" s="282">
        <v>4853911.443239884</v>
      </c>
      <c r="G93" s="282">
        <v>4757446</v>
      </c>
      <c r="H93" s="282">
        <v>308962</v>
      </c>
      <c r="I93" s="282">
        <v>310238</v>
      </c>
      <c r="J93" s="282">
        <v>27180</v>
      </c>
      <c r="K93" s="282">
        <v>270635.14</v>
      </c>
      <c r="L93" s="282">
        <v>0</v>
      </c>
      <c r="M93" s="283">
        <v>0</v>
      </c>
      <c r="N93" s="283">
        <v>33353</v>
      </c>
      <c r="O93" s="272">
        <f t="shared" si="5"/>
        <v>6387166.14</v>
      </c>
      <c r="P93" s="454">
        <v>5572794.69</v>
      </c>
      <c r="Q93" s="282">
        <v>0</v>
      </c>
      <c r="R93" s="282">
        <v>121393.03</v>
      </c>
      <c r="S93" s="282">
        <v>416929.42</v>
      </c>
      <c r="T93" s="282">
        <v>242696</v>
      </c>
      <c r="U93" s="282">
        <v>33353</v>
      </c>
      <c r="X93" s="456"/>
    </row>
    <row r="94" spans="1:24" ht="13.5" thickBot="1">
      <c r="A94" s="451"/>
      <c r="B94" s="452" t="s">
        <v>460</v>
      </c>
      <c r="C94" s="453">
        <v>5403</v>
      </c>
      <c r="D94" s="282">
        <v>1542353.47</v>
      </c>
      <c r="E94" s="282">
        <v>0</v>
      </c>
      <c r="F94" s="282">
        <v>5314467.998268956</v>
      </c>
      <c r="G94" s="282">
        <v>5392328</v>
      </c>
      <c r="H94" s="282">
        <v>187617.67</v>
      </c>
      <c r="I94" s="282">
        <v>316585</v>
      </c>
      <c r="J94" s="282">
        <v>4474</v>
      </c>
      <c r="K94" s="282">
        <v>435653</v>
      </c>
      <c r="L94" s="282">
        <v>0</v>
      </c>
      <c r="M94" s="283">
        <v>0</v>
      </c>
      <c r="N94" s="283">
        <v>0</v>
      </c>
      <c r="O94" s="272">
        <f t="shared" si="5"/>
        <v>7879011.14</v>
      </c>
      <c r="P94" s="454">
        <v>6913547.19</v>
      </c>
      <c r="Q94" s="282">
        <v>36952.95</v>
      </c>
      <c r="R94" s="282">
        <v>0</v>
      </c>
      <c r="S94" s="282">
        <v>0</v>
      </c>
      <c r="T94" s="282">
        <v>965463.11</v>
      </c>
      <c r="U94" s="282">
        <v>-36952.95</v>
      </c>
      <c r="X94" s="456"/>
    </row>
    <row r="95" spans="1:24" ht="13.5" thickBot="1">
      <c r="A95" s="451"/>
      <c r="B95" s="452" t="s">
        <v>461</v>
      </c>
      <c r="C95" s="453">
        <v>5404</v>
      </c>
      <c r="D95" s="282">
        <v>475131</v>
      </c>
      <c r="E95" s="282">
        <v>100000</v>
      </c>
      <c r="F95" s="282">
        <v>4906114.258543756</v>
      </c>
      <c r="G95" s="282">
        <v>5014379</v>
      </c>
      <c r="H95" s="282">
        <v>238402</v>
      </c>
      <c r="I95" s="282">
        <v>592363</v>
      </c>
      <c r="J95" s="282">
        <v>0</v>
      </c>
      <c r="K95" s="282">
        <v>257154.62</v>
      </c>
      <c r="L95" s="282">
        <v>0</v>
      </c>
      <c r="M95" s="283">
        <v>88000</v>
      </c>
      <c r="N95" s="283">
        <v>0</v>
      </c>
      <c r="O95" s="272">
        <f t="shared" si="5"/>
        <v>6765429.62</v>
      </c>
      <c r="P95" s="454">
        <v>5743092.27</v>
      </c>
      <c r="Q95" s="282">
        <v>81000</v>
      </c>
      <c r="R95" s="282">
        <v>0</v>
      </c>
      <c r="S95" s="282">
        <v>688866.13</v>
      </c>
      <c r="T95" s="282">
        <v>145471</v>
      </c>
      <c r="U95" s="282">
        <v>107000</v>
      </c>
      <c r="X95" s="456"/>
    </row>
    <row r="96" spans="1:24" ht="13.5" thickBot="1">
      <c r="A96" s="451"/>
      <c r="B96" s="452" t="s">
        <v>462</v>
      </c>
      <c r="C96" s="453">
        <v>5405</v>
      </c>
      <c r="D96" s="282">
        <v>-284832</v>
      </c>
      <c r="E96" s="282">
        <v>0</v>
      </c>
      <c r="F96" s="282">
        <v>4612094.62216845</v>
      </c>
      <c r="G96" s="282">
        <v>4611120</v>
      </c>
      <c r="H96" s="282">
        <v>264276.36</v>
      </c>
      <c r="I96" s="282">
        <v>836685.19</v>
      </c>
      <c r="J96" s="282">
        <v>13536</v>
      </c>
      <c r="K96" s="282">
        <v>138288.72</v>
      </c>
      <c r="L96" s="282">
        <v>0</v>
      </c>
      <c r="M96" s="283">
        <v>100000</v>
      </c>
      <c r="N96" s="283">
        <v>0</v>
      </c>
      <c r="O96" s="272">
        <f t="shared" si="5"/>
        <v>5679074.2700000005</v>
      </c>
      <c r="P96" s="454">
        <v>5943195.84</v>
      </c>
      <c r="Q96" s="282">
        <v>22300.21</v>
      </c>
      <c r="R96" s="282">
        <v>11000</v>
      </c>
      <c r="S96" s="282">
        <v>-375121.57</v>
      </c>
      <c r="T96" s="282">
        <v>0</v>
      </c>
      <c r="U96" s="282">
        <v>77699.79</v>
      </c>
      <c r="X96" s="456"/>
    </row>
    <row r="97" spans="1:24" ht="13.5" thickBot="1">
      <c r="A97" s="451"/>
      <c r="B97" s="452" t="s">
        <v>463</v>
      </c>
      <c r="C97" s="453">
        <v>5406</v>
      </c>
      <c r="D97" s="282">
        <v>489152.4</v>
      </c>
      <c r="E97" s="282">
        <v>-46609</v>
      </c>
      <c r="F97" s="282">
        <v>3357778.718671633</v>
      </c>
      <c r="G97" s="282">
        <v>3460069.65</v>
      </c>
      <c r="H97" s="282">
        <v>178360</v>
      </c>
      <c r="I97" s="282">
        <v>422393</v>
      </c>
      <c r="J97" s="282">
        <v>112696.9</v>
      </c>
      <c r="K97" s="282">
        <v>369767.89</v>
      </c>
      <c r="L97" s="282">
        <v>0</v>
      </c>
      <c r="M97" s="283">
        <v>191317.35</v>
      </c>
      <c r="N97" s="283">
        <v>0</v>
      </c>
      <c r="O97" s="272">
        <f t="shared" si="5"/>
        <v>5177148.1899999995</v>
      </c>
      <c r="P97" s="454">
        <v>4853208.04</v>
      </c>
      <c r="Q97" s="282">
        <v>144708.35</v>
      </c>
      <c r="R97" s="282">
        <v>31000</v>
      </c>
      <c r="S97" s="282">
        <v>0</v>
      </c>
      <c r="T97" s="282">
        <v>148231.8</v>
      </c>
      <c r="U97" s="282">
        <v>0</v>
      </c>
      <c r="X97" s="456"/>
    </row>
    <row r="98" spans="1:24" ht="13.5" thickBot="1">
      <c r="A98" s="451"/>
      <c r="B98" s="452" t="s">
        <v>464</v>
      </c>
      <c r="C98" s="453">
        <v>5407</v>
      </c>
      <c r="D98" s="282">
        <v>576676</v>
      </c>
      <c r="E98" s="282">
        <v>1704</v>
      </c>
      <c r="F98" s="282">
        <v>6072379.3450428285</v>
      </c>
      <c r="G98" s="282">
        <v>5789151.3</v>
      </c>
      <c r="H98" s="282">
        <v>754853</v>
      </c>
      <c r="I98" s="282">
        <v>789455.02</v>
      </c>
      <c r="J98" s="282">
        <v>22477</v>
      </c>
      <c r="K98" s="282">
        <v>268427.03</v>
      </c>
      <c r="L98" s="282">
        <v>0</v>
      </c>
      <c r="M98" s="283">
        <v>0</v>
      </c>
      <c r="N98" s="283">
        <v>9000</v>
      </c>
      <c r="O98" s="272">
        <f t="shared" si="5"/>
        <v>8211743.350000001</v>
      </c>
      <c r="P98" s="454">
        <v>7613615.49</v>
      </c>
      <c r="Q98" s="282">
        <v>8284.32</v>
      </c>
      <c r="R98" s="282">
        <v>0</v>
      </c>
      <c r="S98" s="282">
        <v>307232</v>
      </c>
      <c r="T98" s="282">
        <v>280192.11</v>
      </c>
      <c r="U98" s="282">
        <v>2419.68</v>
      </c>
      <c r="X98" s="456"/>
    </row>
    <row r="99" spans="1:24" ht="13.5" thickBot="1">
      <c r="A99" s="451"/>
      <c r="B99" s="452" t="s">
        <v>465</v>
      </c>
      <c r="C99" s="453">
        <v>5408</v>
      </c>
      <c r="D99" s="282">
        <v>-223038.06</v>
      </c>
      <c r="E99" s="282">
        <v>0</v>
      </c>
      <c r="F99" s="282">
        <v>5933952.081905261</v>
      </c>
      <c r="G99" s="282">
        <v>6059879</v>
      </c>
      <c r="H99" s="282">
        <v>177068</v>
      </c>
      <c r="I99" s="282">
        <v>518065</v>
      </c>
      <c r="J99" s="282">
        <v>5640</v>
      </c>
      <c r="K99" s="282">
        <v>397185.2</v>
      </c>
      <c r="L99" s="282">
        <v>0</v>
      </c>
      <c r="M99" s="283">
        <v>0</v>
      </c>
      <c r="N99" s="283">
        <v>0</v>
      </c>
      <c r="O99" s="272">
        <f t="shared" si="5"/>
        <v>6934799.140000001</v>
      </c>
      <c r="P99" s="454">
        <v>7053007.87</v>
      </c>
      <c r="Q99" s="282">
        <v>0</v>
      </c>
      <c r="R99" s="282">
        <v>0</v>
      </c>
      <c r="S99" s="282">
        <v>-118208.73</v>
      </c>
      <c r="T99" s="282">
        <v>0</v>
      </c>
      <c r="U99" s="282">
        <v>0</v>
      </c>
      <c r="X99" s="456"/>
    </row>
    <row r="100" spans="1:24" ht="13.5" thickBot="1">
      <c r="A100" s="451"/>
      <c r="B100" s="452" t="s">
        <v>466</v>
      </c>
      <c r="C100" s="453">
        <v>5409</v>
      </c>
      <c r="D100" s="282">
        <v>-910635.48</v>
      </c>
      <c r="E100" s="282">
        <v>0</v>
      </c>
      <c r="F100" s="282">
        <v>2565046.505598723</v>
      </c>
      <c r="G100" s="282">
        <v>2633226</v>
      </c>
      <c r="H100" s="282">
        <v>103893</v>
      </c>
      <c r="I100" s="282">
        <v>355256</v>
      </c>
      <c r="J100" s="282">
        <v>0</v>
      </c>
      <c r="K100" s="282">
        <v>127305.3</v>
      </c>
      <c r="L100" s="282">
        <v>0</v>
      </c>
      <c r="M100" s="283">
        <v>0</v>
      </c>
      <c r="N100" s="283">
        <v>0</v>
      </c>
      <c r="O100" s="272">
        <f t="shared" si="5"/>
        <v>2309044.82</v>
      </c>
      <c r="P100" s="454">
        <v>3316395.29</v>
      </c>
      <c r="Q100" s="282">
        <v>0</v>
      </c>
      <c r="R100" s="282">
        <v>0</v>
      </c>
      <c r="S100" s="282">
        <v>0</v>
      </c>
      <c r="T100" s="282">
        <v>-1007350.47</v>
      </c>
      <c r="U100" s="282">
        <v>0</v>
      </c>
      <c r="X100" s="456"/>
    </row>
    <row r="101" spans="1:24" ht="13.5" thickBot="1">
      <c r="A101" s="451"/>
      <c r="B101" s="452" t="s">
        <v>467</v>
      </c>
      <c r="C101" s="453">
        <v>5410</v>
      </c>
      <c r="D101" s="282">
        <v>-31162.31</v>
      </c>
      <c r="E101" s="282">
        <v>0</v>
      </c>
      <c r="F101" s="282">
        <v>4415759.240408024</v>
      </c>
      <c r="G101" s="282">
        <v>4271875.94</v>
      </c>
      <c r="H101" s="282">
        <v>160774</v>
      </c>
      <c r="I101" s="282">
        <v>340005</v>
      </c>
      <c r="J101" s="282">
        <v>12626</v>
      </c>
      <c r="K101" s="282">
        <v>201103.59</v>
      </c>
      <c r="L101" s="282">
        <v>0</v>
      </c>
      <c r="M101" s="283">
        <v>0</v>
      </c>
      <c r="N101" s="283">
        <v>0</v>
      </c>
      <c r="O101" s="272">
        <f t="shared" si="5"/>
        <v>4955222.220000001</v>
      </c>
      <c r="P101" s="454">
        <v>5155048.81</v>
      </c>
      <c r="Q101" s="282">
        <v>0</v>
      </c>
      <c r="R101" s="282">
        <v>0</v>
      </c>
      <c r="S101" s="282">
        <v>0</v>
      </c>
      <c r="T101" s="282">
        <v>-199826.12</v>
      </c>
      <c r="U101" s="282">
        <v>0</v>
      </c>
      <c r="X101" s="456"/>
    </row>
    <row r="102" spans="1:24" ht="13.5" thickBot="1">
      <c r="A102" s="451"/>
      <c r="B102" s="452" t="s">
        <v>468</v>
      </c>
      <c r="C102" s="453">
        <v>5411</v>
      </c>
      <c r="D102" s="282">
        <v>401441.78</v>
      </c>
      <c r="E102" s="282">
        <v>69866</v>
      </c>
      <c r="F102" s="282">
        <v>5701986.426223302</v>
      </c>
      <c r="G102" s="282">
        <v>5702195</v>
      </c>
      <c r="H102" s="282">
        <v>432488.5</v>
      </c>
      <c r="I102" s="282">
        <v>287569</v>
      </c>
      <c r="J102" s="282">
        <v>19088</v>
      </c>
      <c r="K102" s="282">
        <v>704990.33</v>
      </c>
      <c r="L102" s="282">
        <v>34708</v>
      </c>
      <c r="M102" s="283">
        <v>0</v>
      </c>
      <c r="N102" s="283">
        <v>0</v>
      </c>
      <c r="O102" s="272">
        <f t="shared" si="5"/>
        <v>7652346.61</v>
      </c>
      <c r="P102" s="454">
        <v>7085625.1</v>
      </c>
      <c r="Q102" s="282">
        <v>0</v>
      </c>
      <c r="R102" s="282">
        <v>0</v>
      </c>
      <c r="S102" s="282">
        <v>0</v>
      </c>
      <c r="T102" s="282">
        <v>496855.51</v>
      </c>
      <c r="U102" s="282">
        <v>69866</v>
      </c>
      <c r="X102" s="456"/>
    </row>
    <row r="103" spans="1:24" ht="13.5" thickBot="1">
      <c r="A103" s="451"/>
      <c r="B103" s="452" t="s">
        <v>469</v>
      </c>
      <c r="C103" s="453">
        <v>5412</v>
      </c>
      <c r="D103" s="282">
        <v>595288.68</v>
      </c>
      <c r="E103" s="282">
        <v>0</v>
      </c>
      <c r="F103" s="282">
        <v>6336238.337958336</v>
      </c>
      <c r="G103" s="282">
        <v>6474188</v>
      </c>
      <c r="H103" s="282">
        <v>299033</v>
      </c>
      <c r="I103" s="282">
        <v>324422</v>
      </c>
      <c r="J103" s="282">
        <v>4360</v>
      </c>
      <c r="K103" s="282">
        <v>316211.88</v>
      </c>
      <c r="L103" s="282">
        <v>0</v>
      </c>
      <c r="M103" s="283">
        <v>0</v>
      </c>
      <c r="N103" s="283">
        <v>0</v>
      </c>
      <c r="O103" s="272">
        <f t="shared" si="5"/>
        <v>8013503.56</v>
      </c>
      <c r="P103" s="454">
        <v>7648175.92</v>
      </c>
      <c r="Q103" s="282">
        <v>0</v>
      </c>
      <c r="R103" s="282">
        <v>0</v>
      </c>
      <c r="S103" s="282">
        <v>348536</v>
      </c>
      <c r="T103" s="282">
        <v>16791.64</v>
      </c>
      <c r="U103" s="282">
        <v>0</v>
      </c>
      <c r="X103" s="456"/>
    </row>
    <row r="105" ht="13.5" thickBot="1">
      <c r="B105" s="261" t="s">
        <v>451</v>
      </c>
    </row>
    <row r="106" spans="1:24" ht="13.5" thickBot="1">
      <c r="A106" s="451"/>
      <c r="B106" s="452"/>
      <c r="C106" s="453"/>
      <c r="D106" s="282"/>
      <c r="E106" s="282"/>
      <c r="F106" s="282"/>
      <c r="G106" s="282"/>
      <c r="H106" s="282"/>
      <c r="I106" s="282"/>
      <c r="J106" s="282"/>
      <c r="K106" s="282"/>
      <c r="L106" s="282"/>
      <c r="M106" s="283"/>
      <c r="N106" s="283"/>
      <c r="O106" s="272">
        <f>SUM(D106:E106)+SUM(G106:N106)</f>
        <v>0</v>
      </c>
      <c r="P106" s="454"/>
      <c r="Q106" s="282"/>
      <c r="R106" s="282"/>
      <c r="S106" s="282"/>
      <c r="T106" s="282"/>
      <c r="U106" s="282"/>
      <c r="X106" s="29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07" ht="13.5" thickBot="1"/>
    <row r="108" spans="2:24" ht="13.5" thickBot="1">
      <c r="B108" s="281" t="s">
        <v>470</v>
      </c>
      <c r="D108" s="252">
        <f>SUM(D88:D107)</f>
        <v>4337437.74</v>
      </c>
      <c r="E108" s="252">
        <f aca="true" t="shared" si="6" ref="E108:K108">SUM(E88:E107)</f>
        <v>137356.11</v>
      </c>
      <c r="F108" s="252">
        <f t="shared" si="6"/>
        <v>77421182.54175012</v>
      </c>
      <c r="G108" s="252">
        <f t="shared" si="6"/>
        <v>78010867.66999999</v>
      </c>
      <c r="H108" s="251">
        <f t="shared" si="6"/>
        <v>3891632.36</v>
      </c>
      <c r="I108" s="252">
        <f t="shared" si="6"/>
        <v>6440854.21</v>
      </c>
      <c r="J108" s="252">
        <f t="shared" si="6"/>
        <v>296309.9</v>
      </c>
      <c r="K108" s="252">
        <f t="shared" si="6"/>
        <v>5234469.220000001</v>
      </c>
      <c r="L108" s="252">
        <f>SUM(L88:L107)</f>
        <v>34708</v>
      </c>
      <c r="M108" s="252">
        <f>SUM(M88:M107)</f>
        <v>524025.35</v>
      </c>
      <c r="N108" s="252">
        <f>SUM(N88:N107)</f>
        <v>177628.85</v>
      </c>
      <c r="O108" s="252">
        <f>SUM(D108:E108)+SUM(G108:N108)</f>
        <v>99085289.40999997</v>
      </c>
      <c r="P108" s="252">
        <f aca="true" t="shared" si="7" ref="P108:U108">SUM(P88:P107)</f>
        <v>94164512.06000002</v>
      </c>
      <c r="Q108" s="252">
        <f t="shared" si="7"/>
        <v>432331.04</v>
      </c>
      <c r="R108" s="252">
        <f t="shared" si="7"/>
        <v>335134.95999999996</v>
      </c>
      <c r="S108" s="252">
        <f t="shared" si="7"/>
        <v>1916297.8499999999</v>
      </c>
      <c r="T108" s="252">
        <f t="shared" si="7"/>
        <v>1830334.38</v>
      </c>
      <c r="U108" s="252">
        <f t="shared" si="7"/>
        <v>406679.26999999996</v>
      </c>
      <c r="X108" s="29" t="e">
        <f>IF(LEN(TRIM(#REF!&amp;#REF!&amp;#REF!&amp;#REF!&amp;#REF!&amp;#REF!&amp;#REF!&amp;#REF!&amp;#REF!&amp;#REF!&amp;#REF!&amp;#REF!&amp;#REF!&amp;#REF!&amp;#REF!&amp;#REF!&amp;#REF!))&gt;0,1,0)</f>
        <v>#REF!</v>
      </c>
    </row>
    <row r="110" ht="13.5" thickBot="1">
      <c r="B110" s="261" t="s">
        <v>471</v>
      </c>
    </row>
    <row r="111" spans="1:24" ht="13.5" thickBot="1">
      <c r="A111" s="451"/>
      <c r="B111" s="452" t="s">
        <v>472</v>
      </c>
      <c r="C111" s="453">
        <v>5950</v>
      </c>
      <c r="D111" s="282">
        <v>83580.94</v>
      </c>
      <c r="E111" s="282">
        <v>97399.38</v>
      </c>
      <c r="F111" s="282">
        <v>1047808.9524688638</v>
      </c>
      <c r="G111" s="282">
        <v>1157651</v>
      </c>
      <c r="H111" s="282">
        <v>74107</v>
      </c>
      <c r="I111" s="282">
        <v>110438</v>
      </c>
      <c r="J111" s="282">
        <v>0</v>
      </c>
      <c r="K111" s="282">
        <v>162511.65</v>
      </c>
      <c r="L111" s="282">
        <v>34708</v>
      </c>
      <c r="M111" s="283">
        <v>10000</v>
      </c>
      <c r="N111" s="283">
        <v>0</v>
      </c>
      <c r="O111" s="272">
        <f aca="true" t="shared" si="8" ref="O111:O116">SUM(D111:E111)+SUM(G111:N111)</f>
        <v>1730395.97</v>
      </c>
      <c r="P111" s="454">
        <v>1361331.14</v>
      </c>
      <c r="Q111" s="282">
        <v>148546.97</v>
      </c>
      <c r="R111" s="282">
        <v>75270</v>
      </c>
      <c r="S111" s="282">
        <v>0</v>
      </c>
      <c r="T111" s="282">
        <v>186758.45</v>
      </c>
      <c r="U111" s="282">
        <v>-41147.59</v>
      </c>
      <c r="X111" s="29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12" spans="1:24" ht="13.5" thickBot="1">
      <c r="A112" s="451"/>
      <c r="B112" s="452" t="s">
        <v>473</v>
      </c>
      <c r="C112" s="453">
        <v>7002</v>
      </c>
      <c r="D112" s="282">
        <v>48138.51</v>
      </c>
      <c r="E112" s="282">
        <v>0</v>
      </c>
      <c r="F112" s="282">
        <v>698794.067448504</v>
      </c>
      <c r="G112" s="282">
        <v>736947</v>
      </c>
      <c r="H112" s="282">
        <v>177452.96</v>
      </c>
      <c r="I112" s="282">
        <v>26606</v>
      </c>
      <c r="J112" s="282">
        <v>0</v>
      </c>
      <c r="K112" s="282">
        <v>17089.5</v>
      </c>
      <c r="L112" s="282">
        <v>0</v>
      </c>
      <c r="M112" s="283">
        <v>0</v>
      </c>
      <c r="N112" s="283">
        <v>0</v>
      </c>
      <c r="O112" s="272">
        <f t="shared" si="8"/>
        <v>1006233.97</v>
      </c>
      <c r="P112" s="454">
        <v>824034.09</v>
      </c>
      <c r="Q112" s="282">
        <v>0</v>
      </c>
      <c r="R112" s="282">
        <v>0</v>
      </c>
      <c r="S112" s="282">
        <v>0</v>
      </c>
      <c r="T112" s="282">
        <v>182199.88</v>
      </c>
      <c r="U112" s="282">
        <v>0</v>
      </c>
      <c r="X112" s="456"/>
    </row>
    <row r="113" spans="1:24" ht="13.5" thickBot="1">
      <c r="A113" s="451"/>
      <c r="B113" s="452" t="s">
        <v>474</v>
      </c>
      <c r="C113" s="453">
        <v>7004</v>
      </c>
      <c r="D113" s="282">
        <v>132401.49</v>
      </c>
      <c r="E113" s="282">
        <v>0</v>
      </c>
      <c r="F113" s="282">
        <v>1896184.4723164823</v>
      </c>
      <c r="G113" s="282">
        <v>1949188</v>
      </c>
      <c r="H113" s="282">
        <v>21578</v>
      </c>
      <c r="I113" s="282">
        <v>55947</v>
      </c>
      <c r="J113" s="282">
        <v>0</v>
      </c>
      <c r="K113" s="282">
        <v>78389.73</v>
      </c>
      <c r="L113" s="282">
        <v>0</v>
      </c>
      <c r="M113" s="283">
        <v>0</v>
      </c>
      <c r="N113" s="283">
        <v>338</v>
      </c>
      <c r="O113" s="272">
        <f t="shared" si="8"/>
        <v>2237842.2199999997</v>
      </c>
      <c r="P113" s="454">
        <v>2056420.38</v>
      </c>
      <c r="Q113" s="282">
        <v>0</v>
      </c>
      <c r="R113" s="282">
        <v>0</v>
      </c>
      <c r="S113" s="282">
        <v>78557</v>
      </c>
      <c r="T113" s="282">
        <v>102526.84</v>
      </c>
      <c r="U113" s="282">
        <v>338</v>
      </c>
      <c r="X113" s="456"/>
    </row>
    <row r="114" spans="1:24" ht="13.5" thickBot="1">
      <c r="A114" s="451"/>
      <c r="B114" s="452" t="s">
        <v>475</v>
      </c>
      <c r="C114" s="453">
        <v>7009</v>
      </c>
      <c r="D114" s="282">
        <v>83080.14</v>
      </c>
      <c r="E114" s="282">
        <v>0</v>
      </c>
      <c r="F114" s="282">
        <v>1249483.9920265607</v>
      </c>
      <c r="G114" s="282">
        <v>1296103</v>
      </c>
      <c r="H114" s="282">
        <v>39336.9</v>
      </c>
      <c r="I114" s="282">
        <v>34858</v>
      </c>
      <c r="J114" s="282">
        <v>0</v>
      </c>
      <c r="K114" s="282">
        <v>34794.95</v>
      </c>
      <c r="L114" s="282">
        <v>0</v>
      </c>
      <c r="M114" s="283">
        <v>0</v>
      </c>
      <c r="N114" s="283">
        <v>0</v>
      </c>
      <c r="O114" s="272">
        <f t="shared" si="8"/>
        <v>1488172.9899999998</v>
      </c>
      <c r="P114" s="454">
        <v>1455599.29</v>
      </c>
      <c r="Q114" s="282">
        <v>0</v>
      </c>
      <c r="R114" s="282">
        <v>0</v>
      </c>
      <c r="S114" s="282">
        <v>32573.88</v>
      </c>
      <c r="T114" s="282">
        <v>-0.18</v>
      </c>
      <c r="U114" s="282">
        <v>0</v>
      </c>
      <c r="X114" s="456"/>
    </row>
    <row r="115" spans="1:24" ht="13.5" thickBot="1">
      <c r="A115" s="451"/>
      <c r="B115" s="452" t="s">
        <v>476</v>
      </c>
      <c r="C115" s="453">
        <v>7010</v>
      </c>
      <c r="D115" s="282">
        <v>35206.35</v>
      </c>
      <c r="E115" s="282">
        <v>0</v>
      </c>
      <c r="F115" s="282">
        <v>1475042.9556791857</v>
      </c>
      <c r="G115" s="282">
        <v>1517189</v>
      </c>
      <c r="H115" s="282">
        <v>82956.36</v>
      </c>
      <c r="I115" s="282">
        <v>43213</v>
      </c>
      <c r="J115" s="282">
        <v>0</v>
      </c>
      <c r="K115" s="282">
        <v>75788.96</v>
      </c>
      <c r="L115" s="282">
        <v>10890</v>
      </c>
      <c r="M115" s="283">
        <v>0</v>
      </c>
      <c r="N115" s="283">
        <v>206</v>
      </c>
      <c r="O115" s="272">
        <f t="shared" si="8"/>
        <v>1765449.6700000002</v>
      </c>
      <c r="P115" s="454">
        <v>1705092.1</v>
      </c>
      <c r="Q115" s="282">
        <v>0</v>
      </c>
      <c r="R115" s="282">
        <v>0</v>
      </c>
      <c r="S115" s="282">
        <v>0</v>
      </c>
      <c r="T115" s="282">
        <v>60151.57</v>
      </c>
      <c r="U115" s="282">
        <v>206</v>
      </c>
      <c r="X115" s="456"/>
    </row>
    <row r="116" spans="1:24" ht="13.5" thickBot="1">
      <c r="A116" s="451"/>
      <c r="B116" s="452" t="s">
        <v>477</v>
      </c>
      <c r="C116" s="453">
        <v>7012</v>
      </c>
      <c r="D116" s="282">
        <v>-8095.52</v>
      </c>
      <c r="E116" s="282">
        <v>0</v>
      </c>
      <c r="F116" s="282">
        <v>1697061.528043248</v>
      </c>
      <c r="G116" s="282">
        <v>1739490</v>
      </c>
      <c r="H116" s="282">
        <v>64375.49</v>
      </c>
      <c r="I116" s="282">
        <v>91964</v>
      </c>
      <c r="J116" s="282">
        <v>0</v>
      </c>
      <c r="K116" s="282">
        <v>98019.06</v>
      </c>
      <c r="L116" s="282">
        <v>0</v>
      </c>
      <c r="M116" s="283">
        <v>8000</v>
      </c>
      <c r="N116" s="283">
        <v>0</v>
      </c>
      <c r="O116" s="272">
        <f t="shared" si="8"/>
        <v>1993753.03</v>
      </c>
      <c r="P116" s="454">
        <v>1969372.64</v>
      </c>
      <c r="Q116" s="282">
        <v>0</v>
      </c>
      <c r="R116" s="282">
        <v>0</v>
      </c>
      <c r="S116" s="282">
        <v>0</v>
      </c>
      <c r="T116" s="282">
        <v>16380.39</v>
      </c>
      <c r="U116" s="282">
        <v>8000</v>
      </c>
      <c r="X116" s="456"/>
    </row>
    <row r="117" ht="13.5" thickBot="1"/>
    <row r="118" spans="2:24" ht="13.5" thickBot="1">
      <c r="B118" s="281" t="s">
        <v>478</v>
      </c>
      <c r="D118" s="252">
        <f>SUM(D111:D117)</f>
        <v>374311.91</v>
      </c>
      <c r="E118" s="252">
        <f aca="true" t="shared" si="9" ref="E118:L118">SUM(E111:E117)</f>
        <v>97399.38</v>
      </c>
      <c r="F118" s="252">
        <f t="shared" si="9"/>
        <v>8064375.967982844</v>
      </c>
      <c r="G118" s="252">
        <f t="shared" si="9"/>
        <v>8396568</v>
      </c>
      <c r="H118" s="251">
        <f t="shared" si="9"/>
        <v>459806.70999999996</v>
      </c>
      <c r="I118" s="252">
        <f t="shared" si="9"/>
        <v>363026</v>
      </c>
      <c r="J118" s="252">
        <f t="shared" si="9"/>
        <v>0</v>
      </c>
      <c r="K118" s="252">
        <f t="shared" si="9"/>
        <v>466593.85000000003</v>
      </c>
      <c r="L118" s="252">
        <f t="shared" si="9"/>
        <v>45598</v>
      </c>
      <c r="M118" s="252">
        <f>SUM(M111:M117)</f>
        <v>18000</v>
      </c>
      <c r="N118" s="252">
        <f>SUM(N111:N117)</f>
        <v>544</v>
      </c>
      <c r="O118" s="252">
        <f>SUM(D118:E118)+SUM(G118:N118)</f>
        <v>10221847.85</v>
      </c>
      <c r="P118" s="252">
        <f aca="true" t="shared" si="10" ref="P118:U118">SUM(P111:P117)</f>
        <v>9371849.64</v>
      </c>
      <c r="Q118" s="252">
        <f t="shared" si="10"/>
        <v>148546.97</v>
      </c>
      <c r="R118" s="252">
        <f t="shared" si="10"/>
        <v>75270</v>
      </c>
      <c r="S118" s="252">
        <f t="shared" si="10"/>
        <v>111130.88</v>
      </c>
      <c r="T118" s="252">
        <f t="shared" si="10"/>
        <v>548016.9500000001</v>
      </c>
      <c r="U118" s="252">
        <f t="shared" si="10"/>
        <v>-32603.589999999997</v>
      </c>
      <c r="X118" s="29" t="e">
        <f>IF(LEN(TRIM(#REF!&amp;#REF!&amp;#REF!&amp;#REF!&amp;#REF!&amp;#REF!&amp;#REF!&amp;#REF!&amp;#REF!&amp;#REF!&amp;#REF!&amp;#REF!&amp;#REF!&amp;#REF!&amp;#REF!&amp;#REF!&amp;#REF!))&gt;0,1,0)</f>
        <v>#REF!</v>
      </c>
    </row>
    <row r="119" ht="13.5" thickBot="1"/>
    <row r="120" spans="2:24" ht="14.25" thickBot="1" thickTop="1">
      <c r="B120" s="281" t="s">
        <v>479</v>
      </c>
      <c r="D120" s="457">
        <f aca="true" t="shared" si="11" ref="D120:K120">SUM(D13,D85,D108,D118)</f>
        <v>13537917.610000003</v>
      </c>
      <c r="E120" s="457">
        <f t="shared" si="11"/>
        <v>239009.94</v>
      </c>
      <c r="F120" s="457">
        <f t="shared" si="11"/>
        <v>163563078.28724578</v>
      </c>
      <c r="G120" s="457">
        <f t="shared" si="11"/>
        <v>164182360.92</v>
      </c>
      <c r="H120" s="457">
        <f t="shared" si="11"/>
        <v>10195442.41</v>
      </c>
      <c r="I120" s="457">
        <f t="shared" si="11"/>
        <v>11256378.780000001</v>
      </c>
      <c r="J120" s="457">
        <f t="shared" si="11"/>
        <v>510573.48000000004</v>
      </c>
      <c r="K120" s="457">
        <f t="shared" si="11"/>
        <v>9370461.040000001</v>
      </c>
      <c r="L120" s="457">
        <f>SUM(L13,L85,L108,L118)</f>
        <v>250437.26</v>
      </c>
      <c r="M120" s="457">
        <f>SUM(M13,M85,M108,M118)</f>
        <v>562593.7</v>
      </c>
      <c r="N120" s="457">
        <f>SUM(N13,N85,N108,N118)</f>
        <v>184872.85</v>
      </c>
      <c r="O120" s="457">
        <f>SUM(D120:E120)+SUM(G120:N120)</f>
        <v>210290047.98999995</v>
      </c>
      <c r="P120" s="457">
        <f aca="true" t="shared" si="12" ref="P120:U120">SUM(P13,P85,P108,P118)</f>
        <v>196594905.85000002</v>
      </c>
      <c r="Q120" s="457">
        <f t="shared" si="12"/>
        <v>592368.01</v>
      </c>
      <c r="R120" s="457">
        <f t="shared" si="12"/>
        <v>594211.01</v>
      </c>
      <c r="S120" s="457">
        <f t="shared" si="12"/>
        <v>3460685.11</v>
      </c>
      <c r="T120" s="457">
        <f t="shared" si="12"/>
        <v>8654133.62</v>
      </c>
      <c r="U120" s="457">
        <f t="shared" si="12"/>
        <v>394108.48</v>
      </c>
      <c r="X120" s="29" t="e">
        <f>IF(LEN(TRIM(#REF!&amp;#REF!&amp;#REF!&amp;#REF!&amp;#REF!&amp;#REF!&amp;#REF!&amp;#REF!&amp;#REF!&amp;#REF!&amp;#REF!&amp;#REF!&amp;#REF!&amp;#REF!&amp;#REF!&amp;#REF!&amp;#REF!))&gt;0,1,0)</f>
        <v>#REF!</v>
      </c>
    </row>
    <row r="121" ht="13.5" thickTop="1"/>
    <row r="122" spans="2:36" ht="12.75">
      <c r="B122" s="358" t="s">
        <v>480</v>
      </c>
      <c r="C122" s="359"/>
      <c r="D122" s="359"/>
      <c r="E122" s="359"/>
      <c r="F122" s="359"/>
      <c r="G122" s="359"/>
      <c r="H122" s="359"/>
      <c r="I122" s="359"/>
      <c r="J122" s="359"/>
      <c r="K122" s="359"/>
      <c r="L122" s="360"/>
      <c r="Z122" s="358" t="s">
        <v>481</v>
      </c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60"/>
    </row>
    <row r="123" spans="2:36" ht="12.75">
      <c r="B123" s="361" t="s">
        <v>319</v>
      </c>
      <c r="C123" s="362"/>
      <c r="D123" s="362"/>
      <c r="E123" s="362"/>
      <c r="F123" s="362"/>
      <c r="G123" s="362"/>
      <c r="H123" s="362"/>
      <c r="I123" s="362"/>
      <c r="J123" s="362"/>
      <c r="K123" s="362"/>
      <c r="L123" s="363"/>
      <c r="Z123" s="361" t="s">
        <v>320</v>
      </c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3"/>
    </row>
    <row r="124" spans="2:36" ht="12.75">
      <c r="B124" s="364"/>
      <c r="C124" s="365"/>
      <c r="D124" s="365"/>
      <c r="E124" s="365"/>
      <c r="F124" s="365"/>
      <c r="G124" s="365"/>
      <c r="H124" s="365"/>
      <c r="I124" s="365"/>
      <c r="J124" s="365"/>
      <c r="K124" s="365"/>
      <c r="L124" s="366"/>
      <c r="Z124" s="367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9"/>
    </row>
    <row r="125" spans="2:36" ht="12.75">
      <c r="B125" s="370"/>
      <c r="C125" s="371"/>
      <c r="D125" s="371"/>
      <c r="E125" s="371"/>
      <c r="F125" s="371"/>
      <c r="G125" s="371"/>
      <c r="H125" s="371"/>
      <c r="I125" s="371"/>
      <c r="J125" s="371"/>
      <c r="K125" s="371"/>
      <c r="L125" s="372"/>
      <c r="Z125" s="373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74"/>
    </row>
    <row r="126" spans="2:36" ht="12.75">
      <c r="B126" s="370"/>
      <c r="C126" s="371"/>
      <c r="D126" s="371"/>
      <c r="E126" s="371"/>
      <c r="F126" s="371"/>
      <c r="G126" s="371"/>
      <c r="H126" s="371"/>
      <c r="I126" s="371"/>
      <c r="J126" s="371"/>
      <c r="K126" s="371"/>
      <c r="L126" s="372"/>
      <c r="Z126" s="373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74"/>
    </row>
    <row r="127" spans="2:36" ht="12.75">
      <c r="B127" s="370"/>
      <c r="C127" s="371"/>
      <c r="D127" s="371"/>
      <c r="E127" s="371"/>
      <c r="F127" s="371"/>
      <c r="G127" s="371"/>
      <c r="H127" s="371"/>
      <c r="I127" s="371"/>
      <c r="J127" s="371"/>
      <c r="K127" s="371"/>
      <c r="L127" s="372"/>
      <c r="Z127" s="373"/>
      <c r="AA127" s="368"/>
      <c r="AB127" s="368"/>
      <c r="AC127" s="368"/>
      <c r="AD127" s="368"/>
      <c r="AE127" s="368"/>
      <c r="AF127" s="368"/>
      <c r="AG127" s="368"/>
      <c r="AH127" s="368"/>
      <c r="AI127" s="368"/>
      <c r="AJ127" s="374"/>
    </row>
    <row r="128" spans="2:36" ht="12.75">
      <c r="B128" s="370"/>
      <c r="C128" s="371"/>
      <c r="D128" s="371"/>
      <c r="E128" s="371"/>
      <c r="F128" s="371"/>
      <c r="G128" s="371"/>
      <c r="H128" s="371"/>
      <c r="I128" s="371"/>
      <c r="J128" s="371"/>
      <c r="K128" s="371"/>
      <c r="L128" s="372"/>
      <c r="Z128" s="373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74"/>
    </row>
    <row r="129" spans="2:36" ht="12.75">
      <c r="B129" s="370"/>
      <c r="C129" s="371"/>
      <c r="D129" s="371"/>
      <c r="E129" s="371"/>
      <c r="F129" s="371"/>
      <c r="G129" s="371"/>
      <c r="H129" s="371"/>
      <c r="I129" s="371"/>
      <c r="J129" s="371"/>
      <c r="K129" s="371"/>
      <c r="L129" s="372"/>
      <c r="Z129" s="373"/>
      <c r="AA129" s="368"/>
      <c r="AB129" s="368"/>
      <c r="AC129" s="368"/>
      <c r="AD129" s="368"/>
      <c r="AE129" s="368"/>
      <c r="AF129" s="368"/>
      <c r="AG129" s="368"/>
      <c r="AH129" s="368"/>
      <c r="AI129" s="368"/>
      <c r="AJ129" s="374"/>
    </row>
    <row r="130" spans="2:36" ht="12.75">
      <c r="B130" s="370"/>
      <c r="C130" s="371"/>
      <c r="D130" s="371"/>
      <c r="E130" s="371"/>
      <c r="F130" s="371"/>
      <c r="G130" s="371"/>
      <c r="H130" s="371"/>
      <c r="I130" s="371"/>
      <c r="J130" s="371"/>
      <c r="K130" s="371"/>
      <c r="L130" s="372"/>
      <c r="Z130" s="373"/>
      <c r="AA130" s="368"/>
      <c r="AB130" s="368"/>
      <c r="AC130" s="368"/>
      <c r="AD130" s="368"/>
      <c r="AE130" s="368"/>
      <c r="AF130" s="368"/>
      <c r="AG130" s="368"/>
      <c r="AH130" s="368"/>
      <c r="AI130" s="368"/>
      <c r="AJ130" s="374"/>
    </row>
    <row r="131" spans="2:36" ht="12.75">
      <c r="B131" s="370"/>
      <c r="C131" s="371"/>
      <c r="D131" s="371"/>
      <c r="E131" s="371"/>
      <c r="F131" s="371"/>
      <c r="G131" s="371"/>
      <c r="H131" s="371"/>
      <c r="I131" s="371"/>
      <c r="J131" s="371"/>
      <c r="K131" s="371"/>
      <c r="L131" s="372"/>
      <c r="Z131" s="373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74"/>
    </row>
    <row r="132" spans="2:36" ht="12.75">
      <c r="B132" s="370"/>
      <c r="C132" s="371"/>
      <c r="D132" s="371"/>
      <c r="E132" s="371"/>
      <c r="F132" s="371"/>
      <c r="G132" s="371"/>
      <c r="H132" s="371"/>
      <c r="I132" s="371"/>
      <c r="J132" s="371"/>
      <c r="K132" s="371"/>
      <c r="L132" s="372"/>
      <c r="Z132" s="373"/>
      <c r="AA132" s="368"/>
      <c r="AB132" s="368"/>
      <c r="AC132" s="368"/>
      <c r="AD132" s="368"/>
      <c r="AE132" s="368"/>
      <c r="AF132" s="368"/>
      <c r="AG132" s="368"/>
      <c r="AH132" s="368"/>
      <c r="AI132" s="368"/>
      <c r="AJ132" s="374"/>
    </row>
    <row r="133" spans="2:36" ht="12.75">
      <c r="B133" s="370"/>
      <c r="C133" s="371"/>
      <c r="D133" s="371"/>
      <c r="E133" s="371"/>
      <c r="F133" s="371"/>
      <c r="G133" s="371"/>
      <c r="H133" s="371"/>
      <c r="I133" s="371"/>
      <c r="J133" s="371"/>
      <c r="K133" s="371"/>
      <c r="L133" s="372"/>
      <c r="Z133" s="373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74"/>
    </row>
    <row r="134" spans="2:36" ht="12.75">
      <c r="B134" s="370"/>
      <c r="C134" s="371"/>
      <c r="D134" s="371"/>
      <c r="E134" s="371"/>
      <c r="F134" s="371"/>
      <c r="G134" s="371"/>
      <c r="H134" s="371"/>
      <c r="I134" s="371"/>
      <c r="J134" s="371"/>
      <c r="K134" s="371"/>
      <c r="L134" s="372"/>
      <c r="Z134" s="373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74"/>
    </row>
    <row r="135" spans="2:36" ht="12.75">
      <c r="B135" s="370"/>
      <c r="C135" s="371"/>
      <c r="D135" s="371"/>
      <c r="E135" s="371"/>
      <c r="F135" s="371"/>
      <c r="G135" s="371"/>
      <c r="H135" s="371"/>
      <c r="I135" s="371"/>
      <c r="J135" s="371"/>
      <c r="K135" s="371"/>
      <c r="L135" s="372"/>
      <c r="Z135" s="373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74"/>
    </row>
    <row r="136" spans="2:36" ht="12.75">
      <c r="B136" s="370"/>
      <c r="C136" s="371"/>
      <c r="D136" s="371"/>
      <c r="E136" s="371"/>
      <c r="F136" s="371"/>
      <c r="G136" s="371"/>
      <c r="H136" s="371"/>
      <c r="I136" s="371"/>
      <c r="J136" s="371"/>
      <c r="K136" s="371"/>
      <c r="L136" s="372"/>
      <c r="Z136" s="373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74"/>
    </row>
    <row r="137" spans="2:36" ht="12.75">
      <c r="B137" s="370"/>
      <c r="C137" s="371"/>
      <c r="D137" s="371"/>
      <c r="E137" s="371"/>
      <c r="F137" s="371"/>
      <c r="G137" s="371"/>
      <c r="H137" s="371"/>
      <c r="I137" s="371"/>
      <c r="J137" s="371"/>
      <c r="K137" s="371"/>
      <c r="L137" s="372"/>
      <c r="Z137" s="373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74"/>
    </row>
    <row r="138" spans="2:36" ht="12.75">
      <c r="B138" s="370"/>
      <c r="C138" s="371"/>
      <c r="D138" s="371"/>
      <c r="E138" s="371"/>
      <c r="F138" s="371"/>
      <c r="G138" s="371"/>
      <c r="H138" s="371"/>
      <c r="I138" s="371"/>
      <c r="J138" s="371"/>
      <c r="K138" s="371"/>
      <c r="L138" s="372"/>
      <c r="Z138" s="373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74"/>
    </row>
    <row r="139" spans="2:36" ht="12.75">
      <c r="B139" s="370"/>
      <c r="C139" s="371"/>
      <c r="D139" s="371"/>
      <c r="E139" s="371"/>
      <c r="F139" s="371"/>
      <c r="G139" s="371"/>
      <c r="H139" s="371"/>
      <c r="I139" s="371"/>
      <c r="J139" s="371"/>
      <c r="K139" s="371"/>
      <c r="L139" s="372"/>
      <c r="Z139" s="373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74"/>
    </row>
    <row r="140" spans="2:36" ht="12.75">
      <c r="B140" s="370"/>
      <c r="C140" s="371"/>
      <c r="D140" s="371"/>
      <c r="E140" s="371"/>
      <c r="F140" s="371"/>
      <c r="G140" s="371"/>
      <c r="H140" s="371"/>
      <c r="I140" s="371"/>
      <c r="J140" s="371"/>
      <c r="K140" s="371"/>
      <c r="L140" s="372"/>
      <c r="Z140" s="373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74"/>
    </row>
    <row r="141" spans="2:36" ht="12.75">
      <c r="B141" s="370"/>
      <c r="C141" s="371"/>
      <c r="D141" s="371"/>
      <c r="E141" s="371"/>
      <c r="F141" s="371"/>
      <c r="G141" s="371"/>
      <c r="H141" s="371"/>
      <c r="I141" s="371"/>
      <c r="J141" s="371"/>
      <c r="K141" s="371"/>
      <c r="L141" s="372"/>
      <c r="Z141" s="373"/>
      <c r="AA141" s="368"/>
      <c r="AB141" s="368"/>
      <c r="AC141" s="368"/>
      <c r="AD141" s="368"/>
      <c r="AE141" s="368"/>
      <c r="AF141" s="368"/>
      <c r="AG141" s="368"/>
      <c r="AH141" s="368"/>
      <c r="AI141" s="368"/>
      <c r="AJ141" s="374"/>
    </row>
    <row r="142" spans="2:36" ht="12.75">
      <c r="B142" s="370"/>
      <c r="C142" s="371"/>
      <c r="D142" s="371"/>
      <c r="E142" s="371"/>
      <c r="F142" s="371"/>
      <c r="G142" s="371"/>
      <c r="H142" s="371"/>
      <c r="I142" s="371"/>
      <c r="J142" s="371"/>
      <c r="K142" s="371"/>
      <c r="L142" s="372"/>
      <c r="Z142" s="373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74"/>
    </row>
    <row r="143" spans="2:36" ht="12.75">
      <c r="B143" s="370"/>
      <c r="C143" s="371"/>
      <c r="D143" s="371"/>
      <c r="E143" s="371"/>
      <c r="F143" s="371"/>
      <c r="G143" s="371"/>
      <c r="H143" s="371"/>
      <c r="I143" s="371"/>
      <c r="J143" s="371"/>
      <c r="K143" s="371"/>
      <c r="L143" s="372"/>
      <c r="Z143" s="373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74"/>
    </row>
    <row r="144" spans="2:36" ht="12.75">
      <c r="B144" s="370"/>
      <c r="C144" s="371"/>
      <c r="D144" s="371"/>
      <c r="E144" s="371"/>
      <c r="F144" s="371"/>
      <c r="G144" s="371"/>
      <c r="H144" s="371"/>
      <c r="I144" s="371"/>
      <c r="J144" s="371"/>
      <c r="K144" s="371"/>
      <c r="L144" s="372"/>
      <c r="Z144" s="373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74"/>
    </row>
    <row r="145" spans="2:36" ht="12.75">
      <c r="B145" s="370"/>
      <c r="C145" s="371"/>
      <c r="D145" s="371"/>
      <c r="E145" s="371"/>
      <c r="F145" s="371"/>
      <c r="G145" s="371"/>
      <c r="H145" s="371"/>
      <c r="I145" s="371"/>
      <c r="J145" s="371"/>
      <c r="K145" s="371"/>
      <c r="L145" s="372"/>
      <c r="Z145" s="373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74"/>
    </row>
    <row r="146" spans="2:36" ht="12.75">
      <c r="B146" s="370"/>
      <c r="C146" s="371"/>
      <c r="D146" s="371"/>
      <c r="E146" s="371"/>
      <c r="F146" s="371"/>
      <c r="G146" s="371"/>
      <c r="H146" s="371"/>
      <c r="I146" s="371"/>
      <c r="J146" s="371"/>
      <c r="K146" s="371"/>
      <c r="L146" s="372"/>
      <c r="Z146" s="373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74"/>
    </row>
    <row r="147" spans="2:36" ht="12.75">
      <c r="B147" s="370"/>
      <c r="C147" s="371"/>
      <c r="D147" s="371"/>
      <c r="E147" s="371"/>
      <c r="F147" s="371"/>
      <c r="G147" s="371"/>
      <c r="H147" s="371"/>
      <c r="I147" s="371"/>
      <c r="J147" s="371"/>
      <c r="K147" s="371"/>
      <c r="L147" s="372"/>
      <c r="Z147" s="373"/>
      <c r="AA147" s="368"/>
      <c r="AB147" s="368"/>
      <c r="AC147" s="368"/>
      <c r="AD147" s="368"/>
      <c r="AE147" s="368"/>
      <c r="AF147" s="368"/>
      <c r="AG147" s="368"/>
      <c r="AH147" s="368"/>
      <c r="AI147" s="368"/>
      <c r="AJ147" s="374"/>
    </row>
    <row r="148" spans="2:36" ht="12.75">
      <c r="B148" s="370"/>
      <c r="C148" s="371"/>
      <c r="D148" s="371"/>
      <c r="E148" s="371"/>
      <c r="F148" s="371"/>
      <c r="G148" s="371"/>
      <c r="H148" s="371"/>
      <c r="I148" s="371"/>
      <c r="J148" s="371"/>
      <c r="K148" s="371"/>
      <c r="L148" s="372"/>
      <c r="Z148" s="373"/>
      <c r="AA148" s="368"/>
      <c r="AB148" s="368"/>
      <c r="AC148" s="368"/>
      <c r="AD148" s="368"/>
      <c r="AE148" s="368"/>
      <c r="AF148" s="368"/>
      <c r="AG148" s="368"/>
      <c r="AH148" s="368"/>
      <c r="AI148" s="368"/>
      <c r="AJ148" s="374"/>
    </row>
    <row r="149" spans="2:36" ht="12.75">
      <c r="B149" s="370"/>
      <c r="C149" s="371"/>
      <c r="D149" s="371"/>
      <c r="E149" s="371"/>
      <c r="F149" s="371"/>
      <c r="G149" s="371"/>
      <c r="H149" s="371"/>
      <c r="I149" s="371"/>
      <c r="J149" s="371"/>
      <c r="K149" s="371"/>
      <c r="L149" s="372"/>
      <c r="Z149" s="373"/>
      <c r="AA149" s="368"/>
      <c r="AB149" s="368"/>
      <c r="AC149" s="368"/>
      <c r="AD149" s="368"/>
      <c r="AE149" s="368"/>
      <c r="AF149" s="368"/>
      <c r="AG149" s="368"/>
      <c r="AH149" s="368"/>
      <c r="AI149" s="368"/>
      <c r="AJ149" s="374"/>
    </row>
    <row r="150" spans="2:36" ht="12.75">
      <c r="B150" s="370"/>
      <c r="C150" s="371"/>
      <c r="D150" s="371"/>
      <c r="E150" s="371"/>
      <c r="F150" s="371"/>
      <c r="G150" s="371"/>
      <c r="H150" s="371"/>
      <c r="I150" s="371"/>
      <c r="J150" s="371"/>
      <c r="K150" s="371"/>
      <c r="L150" s="372"/>
      <c r="Z150" s="373"/>
      <c r="AA150" s="368"/>
      <c r="AB150" s="368"/>
      <c r="AC150" s="368"/>
      <c r="AD150" s="368"/>
      <c r="AE150" s="368"/>
      <c r="AF150" s="368"/>
      <c r="AG150" s="368"/>
      <c r="AH150" s="368"/>
      <c r="AI150" s="368"/>
      <c r="AJ150" s="374"/>
    </row>
    <row r="151" spans="2:36" ht="12.75">
      <c r="B151" s="370"/>
      <c r="C151" s="371"/>
      <c r="D151" s="371"/>
      <c r="E151" s="371"/>
      <c r="F151" s="371"/>
      <c r="G151" s="371"/>
      <c r="H151" s="371"/>
      <c r="I151" s="371"/>
      <c r="J151" s="371"/>
      <c r="K151" s="371"/>
      <c r="L151" s="372"/>
      <c r="Z151" s="373"/>
      <c r="AA151" s="368"/>
      <c r="AB151" s="368"/>
      <c r="AC151" s="368"/>
      <c r="AD151" s="368"/>
      <c r="AE151" s="368"/>
      <c r="AF151" s="368"/>
      <c r="AG151" s="368"/>
      <c r="AH151" s="368"/>
      <c r="AI151" s="368"/>
      <c r="AJ151" s="374"/>
    </row>
    <row r="152" spans="2:36" ht="12.75">
      <c r="B152" s="370"/>
      <c r="C152" s="371"/>
      <c r="D152" s="371"/>
      <c r="E152" s="371"/>
      <c r="F152" s="371"/>
      <c r="G152" s="371"/>
      <c r="H152" s="371"/>
      <c r="I152" s="371"/>
      <c r="J152" s="371"/>
      <c r="K152" s="371"/>
      <c r="L152" s="372"/>
      <c r="Z152" s="191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3"/>
    </row>
    <row r="153" spans="2:36" ht="12.75">
      <c r="B153" s="370"/>
      <c r="C153" s="371"/>
      <c r="D153" s="371"/>
      <c r="E153" s="371"/>
      <c r="F153" s="371"/>
      <c r="G153" s="371"/>
      <c r="H153" s="371"/>
      <c r="I153" s="371"/>
      <c r="J153" s="371"/>
      <c r="K153" s="371"/>
      <c r="L153" s="372"/>
      <c r="Z153" s="191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3"/>
    </row>
    <row r="154" spans="2:36" ht="12.75">
      <c r="B154" s="370"/>
      <c r="C154" s="371"/>
      <c r="D154" s="371"/>
      <c r="E154" s="371"/>
      <c r="F154" s="371"/>
      <c r="G154" s="371"/>
      <c r="H154" s="371"/>
      <c r="I154" s="371"/>
      <c r="J154" s="371"/>
      <c r="K154" s="371"/>
      <c r="L154" s="372"/>
      <c r="Z154" s="191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3"/>
    </row>
    <row r="155" spans="2:36" ht="12.75">
      <c r="B155" s="370"/>
      <c r="C155" s="371"/>
      <c r="D155" s="371"/>
      <c r="E155" s="371"/>
      <c r="F155" s="371"/>
      <c r="G155" s="371"/>
      <c r="H155" s="371"/>
      <c r="I155" s="371"/>
      <c r="J155" s="371"/>
      <c r="K155" s="371"/>
      <c r="L155" s="372"/>
      <c r="Z155" s="191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3"/>
    </row>
    <row r="156" spans="2:36" ht="12.75">
      <c r="B156" s="370"/>
      <c r="C156" s="371"/>
      <c r="D156" s="371"/>
      <c r="E156" s="371"/>
      <c r="F156" s="371"/>
      <c r="G156" s="371"/>
      <c r="H156" s="371"/>
      <c r="I156" s="371"/>
      <c r="J156" s="371"/>
      <c r="K156" s="371"/>
      <c r="L156" s="372"/>
      <c r="Z156" s="191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3"/>
    </row>
    <row r="157" spans="2:36" ht="12.75">
      <c r="B157" s="370"/>
      <c r="C157" s="371"/>
      <c r="D157" s="371"/>
      <c r="E157" s="371"/>
      <c r="F157" s="371"/>
      <c r="G157" s="371"/>
      <c r="H157" s="371"/>
      <c r="I157" s="371"/>
      <c r="J157" s="371"/>
      <c r="K157" s="371"/>
      <c r="L157" s="372"/>
      <c r="Z157" s="191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3"/>
    </row>
    <row r="158" spans="2:36" ht="12.75">
      <c r="B158" s="370"/>
      <c r="C158" s="371"/>
      <c r="D158" s="371"/>
      <c r="E158" s="371"/>
      <c r="F158" s="371"/>
      <c r="G158" s="371"/>
      <c r="H158" s="371"/>
      <c r="I158" s="371"/>
      <c r="J158" s="371"/>
      <c r="K158" s="371"/>
      <c r="L158" s="372"/>
      <c r="Z158" s="191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3"/>
    </row>
    <row r="159" spans="2:36" ht="12.75">
      <c r="B159" s="370"/>
      <c r="C159" s="371"/>
      <c r="D159" s="371"/>
      <c r="E159" s="371"/>
      <c r="F159" s="371"/>
      <c r="G159" s="371"/>
      <c r="H159" s="371"/>
      <c r="I159" s="371"/>
      <c r="J159" s="371"/>
      <c r="K159" s="371"/>
      <c r="L159" s="372"/>
      <c r="Z159" s="191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3"/>
    </row>
    <row r="160" spans="2:36" ht="12.75">
      <c r="B160" s="370"/>
      <c r="C160" s="371"/>
      <c r="D160" s="371"/>
      <c r="E160" s="371"/>
      <c r="F160" s="371"/>
      <c r="G160" s="371"/>
      <c r="H160" s="371"/>
      <c r="I160" s="371"/>
      <c r="J160" s="371"/>
      <c r="K160" s="371"/>
      <c r="L160" s="372"/>
      <c r="Z160" s="191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3"/>
    </row>
    <row r="161" spans="2:36" ht="12.75">
      <c r="B161" s="370"/>
      <c r="C161" s="371"/>
      <c r="D161" s="371"/>
      <c r="E161" s="371"/>
      <c r="F161" s="371"/>
      <c r="G161" s="371"/>
      <c r="H161" s="371"/>
      <c r="I161" s="371"/>
      <c r="J161" s="371"/>
      <c r="K161" s="371"/>
      <c r="L161" s="372"/>
      <c r="Z161" s="191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3"/>
    </row>
    <row r="162" spans="2:36" ht="12.75">
      <c r="B162" s="370"/>
      <c r="C162" s="371"/>
      <c r="D162" s="371"/>
      <c r="E162" s="371"/>
      <c r="F162" s="371"/>
      <c r="G162" s="371"/>
      <c r="H162" s="371"/>
      <c r="I162" s="371"/>
      <c r="J162" s="371"/>
      <c r="K162" s="371"/>
      <c r="L162" s="372"/>
      <c r="Z162" s="191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3"/>
    </row>
    <row r="163" spans="2:36" ht="12.75">
      <c r="B163" s="370"/>
      <c r="C163" s="371"/>
      <c r="D163" s="371"/>
      <c r="E163" s="371"/>
      <c r="F163" s="371"/>
      <c r="G163" s="371"/>
      <c r="H163" s="371"/>
      <c r="I163" s="371"/>
      <c r="J163" s="371"/>
      <c r="K163" s="371"/>
      <c r="L163" s="372"/>
      <c r="Z163" s="191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3"/>
    </row>
    <row r="164" spans="2:36" ht="12.75">
      <c r="B164" s="370"/>
      <c r="C164" s="371"/>
      <c r="D164" s="371"/>
      <c r="E164" s="371"/>
      <c r="F164" s="371"/>
      <c r="G164" s="371"/>
      <c r="H164" s="371"/>
      <c r="I164" s="371"/>
      <c r="J164" s="371"/>
      <c r="K164" s="371"/>
      <c r="L164" s="372"/>
      <c r="Z164" s="191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3"/>
    </row>
    <row r="165" spans="2:36" ht="12.75">
      <c r="B165" s="370"/>
      <c r="C165" s="371"/>
      <c r="D165" s="371"/>
      <c r="E165" s="371"/>
      <c r="F165" s="371"/>
      <c r="G165" s="371"/>
      <c r="H165" s="371"/>
      <c r="I165" s="371"/>
      <c r="J165" s="371"/>
      <c r="K165" s="371"/>
      <c r="L165" s="372"/>
      <c r="Z165" s="191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3"/>
    </row>
    <row r="166" spans="2:36" ht="12.75">
      <c r="B166" s="370"/>
      <c r="C166" s="371"/>
      <c r="D166" s="371"/>
      <c r="E166" s="371"/>
      <c r="F166" s="371"/>
      <c r="G166" s="371"/>
      <c r="H166" s="371"/>
      <c r="I166" s="371"/>
      <c r="J166" s="371"/>
      <c r="K166" s="371"/>
      <c r="L166" s="372"/>
      <c r="Z166" s="191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3"/>
    </row>
    <row r="167" spans="2:36" ht="12.75">
      <c r="B167" s="375"/>
      <c r="C167" s="376"/>
      <c r="D167" s="376"/>
      <c r="E167" s="376"/>
      <c r="F167" s="376"/>
      <c r="G167" s="376"/>
      <c r="H167" s="376"/>
      <c r="I167" s="376"/>
      <c r="J167" s="376"/>
      <c r="K167" s="376"/>
      <c r="L167" s="377"/>
      <c r="Z167" s="194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6"/>
    </row>
  </sheetData>
  <mergeCells count="76">
    <mergeCell ref="B166:L166"/>
    <mergeCell ref="B167:L167"/>
    <mergeCell ref="B164:L164"/>
    <mergeCell ref="B165:L165"/>
    <mergeCell ref="B162:L162"/>
    <mergeCell ref="B163:L163"/>
    <mergeCell ref="B160:L160"/>
    <mergeCell ref="B161:L161"/>
    <mergeCell ref="B158:L158"/>
    <mergeCell ref="B159:L159"/>
    <mergeCell ref="B156:L156"/>
    <mergeCell ref="B157:L157"/>
    <mergeCell ref="B154:L154"/>
    <mergeCell ref="B155:L155"/>
    <mergeCell ref="B152:L152"/>
    <mergeCell ref="B153:L153"/>
    <mergeCell ref="B150:L150"/>
    <mergeCell ref="B151:L151"/>
    <mergeCell ref="B148:L148"/>
    <mergeCell ref="B149:L149"/>
    <mergeCell ref="B146:L146"/>
    <mergeCell ref="B147:L147"/>
    <mergeCell ref="B144:L144"/>
    <mergeCell ref="B145:L145"/>
    <mergeCell ref="B142:L142"/>
    <mergeCell ref="B143:L143"/>
    <mergeCell ref="B140:L140"/>
    <mergeCell ref="B141:L141"/>
    <mergeCell ref="B138:L138"/>
    <mergeCell ref="B139:L139"/>
    <mergeCell ref="B136:L136"/>
    <mergeCell ref="B137:L137"/>
    <mergeCell ref="B134:L134"/>
    <mergeCell ref="B135:L135"/>
    <mergeCell ref="B132:L132"/>
    <mergeCell ref="B133:L133"/>
    <mergeCell ref="B130:L130"/>
    <mergeCell ref="B131:L131"/>
    <mergeCell ref="B128:L128"/>
    <mergeCell ref="B129:L129"/>
    <mergeCell ref="B126:L126"/>
    <mergeCell ref="B127:L127"/>
    <mergeCell ref="B124:L124"/>
    <mergeCell ref="B125:L125"/>
    <mergeCell ref="Z122:AJ122"/>
    <mergeCell ref="B123:L123"/>
    <mergeCell ref="Z123:AJ123"/>
    <mergeCell ref="B122:L122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A6:A8"/>
    <mergeCell ref="C6:C7"/>
    <mergeCell ref="D6:D7"/>
    <mergeCell ref="E6:E7"/>
    <mergeCell ref="F6:F7"/>
    <mergeCell ref="G6:G7"/>
    <mergeCell ref="H6:H7"/>
    <mergeCell ref="I6:I7"/>
    <mergeCell ref="G4:I4"/>
    <mergeCell ref="L4:M4"/>
    <mergeCell ref="N4:O4"/>
    <mergeCell ref="G3:I3"/>
    <mergeCell ref="K3:O3"/>
    <mergeCell ref="G2:K2"/>
    <mergeCell ref="L2:M2"/>
    <mergeCell ref="N2:O2"/>
  </mergeCells>
  <conditionalFormatting sqref="B11:C11 B83:C83 B16:C80 B106:C106 B88:C103 B111:C116">
    <cfRule type="expression" priority="1" dxfId="1" stopIfTrue="1">
      <formula>LEFT(#REF!,1)="E"</formula>
    </cfRule>
    <cfRule type="expression" priority="2" dxfId="2" stopIfTrue="1">
      <formula>LEFT(#REF!,1)="W"</formula>
    </cfRule>
  </conditionalFormatting>
  <conditionalFormatting sqref="G3:I4 K3:O3">
    <cfRule type="expression" priority="3" dxfId="1" stopIfTrue="1">
      <formula>LEFT(#REF!,1)="E"</formula>
    </cfRule>
  </conditionalFormatting>
  <conditionalFormatting sqref="F3:F4 J3">
    <cfRule type="expression" priority="4" dxfId="1" stopIfTrue="1">
      <formula>LEFT(#REF!,1)="E"</formula>
    </cfRule>
  </conditionalFormatting>
  <conditionalFormatting sqref="K4 N4:O4">
    <cfRule type="expression" priority="5" dxfId="2" stopIfTrue="1">
      <formula>LEFT(#REF!,1)="W"</formula>
    </cfRule>
  </conditionalFormatting>
  <conditionalFormatting sqref="J4">
    <cfRule type="expression" priority="6" dxfId="2" stopIfTrue="1">
      <formula>LEFT(#REF!,1)="W"</formula>
    </cfRule>
  </conditionalFormatting>
  <conditionalFormatting sqref="L4:M4">
    <cfRule type="expression" priority="7" dxfId="2" stopIfTrue="1">
      <formula>LEFT(#REF!,1)="W"</formula>
    </cfRule>
  </conditionalFormatting>
  <conditionalFormatting sqref="D118:O118 D120:P120 D83:U83 D11:U11 D111:U116 D106:U106 D13:U13 D16:U80 R120:U120 Q118:U118 D108:U108 D85:U85 D88:U103">
    <cfRule type="expression" priority="8" dxfId="0" stopIfTrue="1">
      <formula>AND(LEFT(#REF!,1)="E",(D11)="")</formula>
    </cfRule>
    <cfRule type="expression" priority="9" dxfId="1" stopIfTrue="1">
      <formula>LEFT(#REF!,1)="E"</formula>
    </cfRule>
    <cfRule type="expression" priority="10" dxfId="2" stopIfTrue="1">
      <formula>LEFT(#REF!,1)="W"</formula>
    </cfRule>
  </conditionalFormatting>
  <conditionalFormatting sqref="Q120">
    <cfRule type="expression" priority="11" dxfId="0" stopIfTrue="1">
      <formula>AND(LEFT(#REF!,1)="E",(Q120)="")</formula>
    </cfRule>
    <cfRule type="expression" priority="12" dxfId="1" stopIfTrue="1">
      <formula>LEFT(#REF!,1)="E"</formula>
    </cfRule>
    <cfRule type="expression" priority="13" dxfId="2" stopIfTrue="1">
      <formula>LEFT(#REF!,1)="W"</formula>
    </cfRule>
  </conditionalFormatting>
  <conditionalFormatting sqref="P118">
    <cfRule type="expression" priority="14" dxfId="0" stopIfTrue="1">
      <formula>AND(LEFT(#REF!,1)="E",(P118)="")</formula>
    </cfRule>
    <cfRule type="expression" priority="15" dxfId="1" stopIfTrue="1">
      <formula>LEFT(#REF!,1)="E"</formula>
    </cfRule>
    <cfRule type="expression" priority="16" dxfId="2" stopIfTrue="1">
      <formula>LEFT(#REF!,1)="W"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Hillingdon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Munro</dc:creator>
  <cp:keywords/>
  <dc:description/>
  <cp:lastModifiedBy>Ruth Munro</cp:lastModifiedBy>
  <dcterms:created xsi:type="dcterms:W3CDTF">2013-11-20T10:34:23Z</dcterms:created>
  <dcterms:modified xsi:type="dcterms:W3CDTF">2013-11-20T10:37:51Z</dcterms:modified>
  <cp:category/>
  <cp:version/>
  <cp:contentType/>
  <cp:contentStatus/>
</cp:coreProperties>
</file>