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0" windowWidth="28830" windowHeight="6180" tabRatio="609" activeTab="0"/>
  </bookViews>
  <sheets>
    <sheet name="Special School" sheetId="1" r:id="rId1"/>
    <sheet name="Funding Analysis (Special)" sheetId="2" state="hidden" r:id="rId2"/>
    <sheet name="Other grants" sheetId="3" state="hidden" r:id="rId3"/>
    <sheet name="SRP" sheetId="4" r:id="rId4"/>
    <sheet name="Funding Analysis (SRP)" sheetId="5" state="hidden" r:id="rId5"/>
    <sheet name="Top-up rates" sheetId="6" state="hidden" r:id="rId6"/>
  </sheets>
  <definedNames>
    <definedName name="CRITERIA" localSheetId="0">'Special School'!$K$6</definedName>
    <definedName name="CRITERIA" localSheetId="3">'SRP'!$K$6</definedName>
  </definedNames>
  <calcPr fullCalcOnLoad="1"/>
</workbook>
</file>

<file path=xl/sharedStrings.xml><?xml version="1.0" encoding="utf-8"?>
<sst xmlns="http://schemas.openxmlformats.org/spreadsheetml/2006/main" count="159" uniqueCount="88">
  <si>
    <t>School</t>
  </si>
  <si>
    <t>Coteford Infant</t>
  </si>
  <si>
    <t>Coteford Junior</t>
  </si>
  <si>
    <t>Deanesfield</t>
  </si>
  <si>
    <t>Glebe</t>
  </si>
  <si>
    <t>Hayes Park</t>
  </si>
  <si>
    <t>Pinkwell</t>
  </si>
  <si>
    <t>Harlington</t>
  </si>
  <si>
    <t>Northwood</t>
  </si>
  <si>
    <t>Vyners</t>
  </si>
  <si>
    <t>Grangewood</t>
  </si>
  <si>
    <t>Moorcroft</t>
  </si>
  <si>
    <t>Willows</t>
  </si>
  <si>
    <t>Hedgewood</t>
  </si>
  <si>
    <t>Meadow</t>
  </si>
  <si>
    <t>Status</t>
  </si>
  <si>
    <t>Maintained</t>
  </si>
  <si>
    <t>Academy</t>
  </si>
  <si>
    <t>select school</t>
  </si>
  <si>
    <t>Notes</t>
  </si>
  <si>
    <t>Top up funding for children not residing in Hillingdon should be obtained from the relevant local authority</t>
  </si>
  <si>
    <t>The Skills Hub</t>
  </si>
  <si>
    <t>Cherry Lane</t>
  </si>
  <si>
    <t>Lake Farm</t>
  </si>
  <si>
    <t>St Martin's</t>
  </si>
  <si>
    <t>Young Peoples Academy</t>
  </si>
  <si>
    <t>Pupil Premium</t>
  </si>
  <si>
    <t>Pupil Premium Service Children</t>
  </si>
  <si>
    <t>Universal Infant Free School Meals</t>
  </si>
  <si>
    <t>PE and Sports Grant</t>
  </si>
  <si>
    <t>16-19 Bursary</t>
  </si>
  <si>
    <t>Devolved Formula Capital</t>
  </si>
  <si>
    <t>Sector
Type</t>
  </si>
  <si>
    <t>Pentland Field</t>
  </si>
  <si>
    <t>BAND</t>
  </si>
  <si>
    <t>SRP (P)</t>
  </si>
  <si>
    <t>Special (P)</t>
  </si>
  <si>
    <t>SRP (S)</t>
  </si>
  <si>
    <t>Special (S)</t>
  </si>
  <si>
    <t>Oak Wood</t>
  </si>
  <si>
    <t>Special (All)</t>
  </si>
  <si>
    <t>Free</t>
  </si>
  <si>
    <t>Planned Place numbers (Occupied)</t>
  </si>
  <si>
    <t>Planned Place numbers (Unoccupied)</t>
  </si>
  <si>
    <t>Planned Place numbers</t>
  </si>
  <si>
    <t>Special School</t>
  </si>
  <si>
    <t>The planned place number funding has been based on the numbers in total to be funded to the school. Maintained schools will be funded by the LA, academies by the ESFA</t>
  </si>
  <si>
    <t>Top up funding has been based on data as at January 2019 showing numbers of Hillingdon children in each establishment and assuming that this number will remain consistent for the financial year.  Funding will be updated throughout the year to reflect actual children.</t>
  </si>
  <si>
    <t>Occupied SRP places as at the October 2018 pupil census will be funded at £6,000, with the remaining funding being distributed through the school funding formula. Unoccupied places continue to be funded at £10,000 per place.</t>
  </si>
  <si>
    <t>Number of Occupied
Places Oct 18</t>
  </si>
  <si>
    <t>Number of Unoccupied
Places Oct 18</t>
  </si>
  <si>
    <t>Planned
Place Nos.
Apr 19-Aug 19</t>
  </si>
  <si>
    <t>Planned
Place Nos.
Sep 19-Mar 20</t>
  </si>
  <si>
    <t>Top-up
Numbers
Est. 2019-20</t>
  </si>
  <si>
    <t>Planned Places Apr 19-Aug 19</t>
  </si>
  <si>
    <t>Planned Places Sep 19-Mar 20</t>
  </si>
  <si>
    <t>Occupied
Places
Oct 18</t>
  </si>
  <si>
    <t>Unoccupied
Places
Oct 18</t>
  </si>
  <si>
    <t>Top-up
Nos.
Est. 2019-20</t>
  </si>
  <si>
    <t>Alternative Provision</t>
  </si>
  <si>
    <t>Top-Up Funding (Based on data as at January 2019)</t>
  </si>
  <si>
    <t>Number of places Sep 19-Mar 20</t>
  </si>
  <si>
    <t>Number of
places Apr 19-Aug 19</t>
  </si>
  <si>
    <t>TOP-UP RATES 2019-20</t>
  </si>
  <si>
    <t>Base Rate of Funding
£</t>
  </si>
  <si>
    <t>Occupied
Places
Funded
£</t>
  </si>
  <si>
    <t>Unoccupied
Places
Funded
£</t>
  </si>
  <si>
    <t>Additional Places Funded from Sept 19
£</t>
  </si>
  <si>
    <t>Top-up Funding Est. 2019-20
£</t>
  </si>
  <si>
    <t>Total Planned Places ESFA Funded
£</t>
  </si>
  <si>
    <t>Total Planned Places LA Funded
£</t>
  </si>
  <si>
    <t>2019/20 RATE
£</t>
  </si>
  <si>
    <t>2018/19 RATE
£</t>
  </si>
  <si>
    <t>Planned Places LA Funded
£</t>
  </si>
  <si>
    <t>Planned Places ESFA Funded
£</t>
  </si>
  <si>
    <t>A termly reconciliation will take place to identify cases where the actual numbers are higher than the published planned place number. In such cases the place funding will be adjusted pro-rata for LBH pupils.</t>
  </si>
  <si>
    <t>SPECIAL RESOURCE PROVISION INDICATIVE FUNDING 2019-20</t>
  </si>
  <si>
    <t>SPECIAL SCHOOL INDICATIVE FUNDING 2019-20</t>
  </si>
  <si>
    <t>SPECIAL SCHOOL INDICATIVE FUNDING 2019-20 (ANALYSIS)</t>
  </si>
  <si>
    <t>SPECIAL RESOURCE PROVISION INDICATIVE FUNDING 2019-20 (ANALYSIS)</t>
  </si>
  <si>
    <t>Additional places from September 2019</t>
  </si>
  <si>
    <t>Top-up Funding Est. 2019-20*
£</t>
  </si>
  <si>
    <t>* Top-up estimate for Young Peoples Academy includes vacant place funding at £5,000 per place (assumes 15 OOB pupils)</t>
  </si>
  <si>
    <t>Total Funding for 2019-20</t>
  </si>
  <si>
    <t>Total
Funding
2019-20
£</t>
  </si>
  <si>
    <t>Special School Indicative Funding 2019-20</t>
  </si>
  <si>
    <t>Special Resource Provision Indicative Funding 2019-20</t>
  </si>
  <si>
    <t>Total Funding 
2019-20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</si>
</sst>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0_ ;[Red]\-#,##0\ "/>
  </numFmts>
  <fonts count="38">
    <font>
      <sz val="10"/>
      <name val="Arial"/>
      <family val="0"/>
    </font>
    <font>
      <sz val="11"/>
      <color indexed="8"/>
      <name val="Calibri"/>
      <family val="2"/>
    </font>
    <font>
      <b/>
      <sz val="10"/>
      <name val="Arial"/>
      <family val="2"/>
    </font>
    <font>
      <sz val="8"/>
      <name val="Arial"/>
      <family val="2"/>
    </font>
    <font>
      <b/>
      <u val="single"/>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thin"/>
    </border>
    <border>
      <left style="thin"/>
      <right style="medium"/>
      <top style="thin"/>
      <bottom style="thin"/>
    </border>
    <border>
      <left style="thin"/>
      <right style="medium"/>
      <top style="thin"/>
      <bottom style="medium"/>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1" fillId="0" borderId="0">
      <alignment/>
      <protection/>
    </xf>
    <xf numFmtId="0" fontId="21" fillId="0" borderId="0">
      <alignment/>
      <protection/>
    </xf>
    <xf numFmtId="3" fontId="0" fillId="0" borderId="0" applyFill="0" applyBorder="0" applyAlignment="0" applyProtection="0"/>
    <xf numFmtId="0" fontId="0" fillId="0" borderId="0">
      <alignment/>
      <protection/>
    </xf>
    <xf numFmtId="0" fontId="0" fillId="0" borderId="0" applyNumberFormat="0" applyFill="0" applyBorder="0" applyAlignment="0" applyProtection="0"/>
    <xf numFmtId="0" fontId="0" fillId="32" borderId="7" applyNumberFormat="0" applyFont="0" applyAlignment="0" applyProtection="0"/>
    <xf numFmtId="0" fontId="21"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0">
    <xf numFmtId="0" fontId="0" fillId="0" borderId="0" xfId="0" applyAlignment="1">
      <alignment/>
    </xf>
    <xf numFmtId="0" fontId="2" fillId="0" borderId="0" xfId="0" applyFont="1" applyAlignment="1">
      <alignment/>
    </xf>
    <xf numFmtId="0" fontId="2" fillId="0" borderId="10" xfId="0" applyFont="1" applyBorder="1" applyAlignment="1">
      <alignment/>
    </xf>
    <xf numFmtId="0" fontId="0" fillId="0" borderId="0" xfId="0" applyFont="1" applyAlignment="1">
      <alignment/>
    </xf>
    <xf numFmtId="0" fontId="0" fillId="0" borderId="10" xfId="0" applyFont="1" applyBorder="1" applyAlignment="1">
      <alignment/>
    </xf>
    <xf numFmtId="4" fontId="0" fillId="0" borderId="10" xfId="0" applyNumberFormat="1" applyFont="1" applyFill="1" applyBorder="1" applyAlignment="1">
      <alignment vertical="top" wrapText="1"/>
    </xf>
    <xf numFmtId="0" fontId="0" fillId="0" borderId="0" xfId="0" applyFont="1" applyBorder="1" applyAlignment="1">
      <alignment/>
    </xf>
    <xf numFmtId="0" fontId="0" fillId="0" borderId="11" xfId="0" applyFont="1" applyBorder="1" applyAlignment="1">
      <alignment/>
    </xf>
    <xf numFmtId="3" fontId="0" fillId="0" borderId="0" xfId="0" applyNumberFormat="1" applyFont="1" applyAlignment="1">
      <alignment/>
    </xf>
    <xf numFmtId="3" fontId="2" fillId="0" borderId="0" xfId="0" applyNumberFormat="1" applyFont="1" applyAlignment="1">
      <alignment/>
    </xf>
    <xf numFmtId="3" fontId="2" fillId="0" borderId="10" xfId="0" applyNumberFormat="1" applyFont="1" applyBorder="1" applyAlignment="1">
      <alignment horizontal="center" wrapText="1"/>
    </xf>
    <xf numFmtId="3" fontId="2" fillId="0" borderId="10" xfId="0" applyNumberFormat="1" applyFont="1" applyBorder="1" applyAlignment="1">
      <alignment/>
    </xf>
    <xf numFmtId="3" fontId="0" fillId="0" borderId="10" xfId="0" applyNumberFormat="1" applyFont="1" applyBorder="1" applyAlignment="1">
      <alignment/>
    </xf>
    <xf numFmtId="3" fontId="0" fillId="0" borderId="11" xfId="0" applyNumberFormat="1" applyFont="1" applyBorder="1" applyAlignment="1">
      <alignment/>
    </xf>
    <xf numFmtId="3" fontId="2" fillId="0" borderId="0" xfId="0" applyNumberFormat="1" applyFont="1" applyBorder="1" applyAlignment="1">
      <alignment/>
    </xf>
    <xf numFmtId="3" fontId="0" fillId="0" borderId="0" xfId="0" applyNumberFormat="1" applyFont="1" applyBorder="1" applyAlignment="1">
      <alignment/>
    </xf>
    <xf numFmtId="0" fontId="0" fillId="0" borderId="0" xfId="0" applyFont="1" applyAlignment="1">
      <alignment wrapText="1"/>
    </xf>
    <xf numFmtId="0" fontId="0" fillId="0" borderId="0" xfId="0" applyFont="1" applyFill="1" applyAlignment="1">
      <alignment/>
    </xf>
    <xf numFmtId="0" fontId="0" fillId="0" borderId="0" xfId="0" applyFont="1" applyAlignment="1">
      <alignment wrapText="1"/>
    </xf>
    <xf numFmtId="0" fontId="4" fillId="0" borderId="0" xfId="0" applyFont="1" applyAlignment="1">
      <alignment/>
    </xf>
    <xf numFmtId="164" fontId="0" fillId="0" borderId="10" xfId="44" applyNumberFormat="1" applyFont="1" applyBorder="1" applyAlignment="1">
      <alignment/>
    </xf>
    <xf numFmtId="164" fontId="2" fillId="0" borderId="10" xfId="44" applyNumberFormat="1" applyFont="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4" fontId="0" fillId="0" borderId="12" xfId="59" applyNumberFormat="1" applyFont="1" applyFill="1" applyBorder="1" applyAlignment="1" applyProtection="1">
      <alignment horizontal="left" vertical="top" wrapText="1"/>
      <protection locked="0"/>
    </xf>
    <xf numFmtId="4" fontId="0" fillId="0" borderId="10" xfId="59" applyNumberFormat="1" applyFont="1" applyFill="1" applyBorder="1" applyAlignment="1" applyProtection="1">
      <alignment vertical="top" wrapText="1"/>
      <protection locked="0"/>
    </xf>
    <xf numFmtId="4" fontId="0" fillId="0" borderId="12" xfId="59" applyNumberFormat="1" applyFont="1" applyFill="1" applyBorder="1" applyAlignment="1" applyProtection="1">
      <alignment vertical="top" wrapText="1"/>
      <protection locked="0"/>
    </xf>
    <xf numFmtId="4" fontId="0" fillId="0" borderId="12" xfId="57" applyNumberFormat="1" applyFont="1" applyFill="1" applyBorder="1" applyAlignment="1" applyProtection="1">
      <alignment horizontal="left" vertical="top" wrapText="1"/>
      <protection locked="0"/>
    </xf>
    <xf numFmtId="4" fontId="0" fillId="0" borderId="10" xfId="58" applyNumberFormat="1" applyFont="1" applyFill="1" applyBorder="1" applyAlignment="1">
      <alignment horizontal="left" vertical="top" wrapText="1"/>
      <protection/>
    </xf>
    <xf numFmtId="4" fontId="0" fillId="0" borderId="10" xfId="59" applyNumberFormat="1" applyFont="1" applyFill="1" applyBorder="1" applyAlignment="1" applyProtection="1">
      <alignment horizontal="left" vertical="top" wrapText="1"/>
      <protection locked="0"/>
    </xf>
    <xf numFmtId="4" fontId="0" fillId="0" borderId="13" xfId="0" applyNumberFormat="1" applyFont="1" applyFill="1" applyBorder="1" applyAlignment="1">
      <alignment vertical="top" wrapText="1"/>
    </xf>
    <xf numFmtId="4" fontId="0" fillId="0" borderId="14" xfId="0" applyNumberFormat="1" applyFont="1" applyFill="1" applyBorder="1" applyAlignment="1">
      <alignment vertical="top" wrapText="1"/>
    </xf>
    <xf numFmtId="4" fontId="0" fillId="0" borderId="0" xfId="0" applyNumberFormat="1" applyFont="1" applyFill="1" applyAlignment="1">
      <alignment vertical="top" wrapText="1"/>
    </xf>
    <xf numFmtId="165" fontId="0" fillId="0" borderId="0" xfId="0" applyNumberFormat="1" applyFont="1" applyFill="1" applyAlignment="1">
      <alignment vertical="top" wrapText="1"/>
    </xf>
    <xf numFmtId="4" fontId="0" fillId="0" borderId="0" xfId="0" applyNumberFormat="1" applyFont="1" applyFill="1" applyAlignment="1">
      <alignment horizontal="center" vertical="top" wrapText="1"/>
    </xf>
    <xf numFmtId="4" fontId="2" fillId="0" borderId="0" xfId="0" applyNumberFormat="1" applyFont="1" applyFill="1" applyAlignment="1">
      <alignment horizontal="center" vertical="top" wrapText="1"/>
    </xf>
    <xf numFmtId="4" fontId="2" fillId="0" borderId="0" xfId="0" applyNumberFormat="1" applyFont="1" applyFill="1" applyAlignment="1">
      <alignment vertical="top" wrapText="1"/>
    </xf>
    <xf numFmtId="4" fontId="0" fillId="0" borderId="0" xfId="0" applyNumberFormat="1" applyFont="1" applyFill="1" applyAlignment="1">
      <alignment horizontal="left" vertical="top" wrapText="1"/>
    </xf>
    <xf numFmtId="0" fontId="0" fillId="0" borderId="0" xfId="0" applyAlignment="1">
      <alignment horizontal="center"/>
    </xf>
    <xf numFmtId="3" fontId="0" fillId="0" borderId="0" xfId="0" applyNumberFormat="1" applyAlignment="1">
      <alignment/>
    </xf>
    <xf numFmtId="0" fontId="0" fillId="0" borderId="0" xfId="0" applyAlignment="1">
      <alignment horizontal="left"/>
    </xf>
    <xf numFmtId="0" fontId="0" fillId="0" borderId="0" xfId="0" applyNumberFormat="1" applyAlignment="1">
      <alignment/>
    </xf>
    <xf numFmtId="0" fontId="0" fillId="0" borderId="0" xfId="0" applyFont="1" applyFill="1" applyBorder="1" applyAlignment="1">
      <alignment/>
    </xf>
    <xf numFmtId="4" fontId="0" fillId="0" borderId="15" xfId="59" applyNumberFormat="1" applyFont="1" applyFill="1" applyBorder="1" applyAlignment="1" applyProtection="1">
      <alignment horizontal="left" vertical="top" wrapText="1"/>
      <protection locked="0"/>
    </xf>
    <xf numFmtId="4" fontId="0" fillId="0" borderId="16" xfId="59" applyNumberFormat="1" applyFont="1" applyFill="1" applyBorder="1" applyAlignment="1" applyProtection="1">
      <alignment vertical="top" wrapText="1"/>
      <protection locked="0"/>
    </xf>
    <xf numFmtId="165" fontId="2" fillId="0" borderId="10" xfId="59" applyNumberFormat="1" applyFont="1" applyFill="1" applyBorder="1" applyAlignment="1" applyProtection="1">
      <alignment horizontal="center" vertical="top" wrapText="1"/>
      <protection locked="0"/>
    </xf>
    <xf numFmtId="4" fontId="2" fillId="0" borderId="17" xfId="59" applyNumberFormat="1" applyFont="1" applyFill="1" applyBorder="1" applyAlignment="1" applyProtection="1">
      <alignment horizontal="center" vertical="top" wrapText="1"/>
      <protection locked="0"/>
    </xf>
    <xf numFmtId="4" fontId="2" fillId="0" borderId="18" xfId="59" applyNumberFormat="1" applyFont="1" applyFill="1" applyBorder="1" applyAlignment="1" applyProtection="1">
      <alignment horizontal="center" vertical="top" wrapText="1"/>
      <protection locked="0"/>
    </xf>
    <xf numFmtId="165" fontId="2" fillId="0" borderId="18" xfId="59" applyNumberFormat="1" applyFont="1" applyFill="1" applyBorder="1" applyAlignment="1" applyProtection="1">
      <alignment horizontal="center" vertical="top" wrapText="1"/>
      <protection locked="0"/>
    </xf>
    <xf numFmtId="4" fontId="2" fillId="0" borderId="19" xfId="0" applyNumberFormat="1" applyFont="1" applyFill="1" applyBorder="1" applyAlignment="1">
      <alignment horizontal="center" vertical="top" wrapText="1"/>
    </xf>
    <xf numFmtId="4" fontId="2" fillId="0" borderId="20" xfId="59" applyNumberFormat="1" applyFont="1" applyFill="1" applyBorder="1" applyAlignment="1" applyProtection="1">
      <alignment horizontal="center" vertical="top" wrapText="1"/>
      <protection locked="0"/>
    </xf>
    <xf numFmtId="4" fontId="2" fillId="0" borderId="21" xfId="59" applyNumberFormat="1" applyFont="1" applyFill="1" applyBorder="1" applyAlignment="1" applyProtection="1">
      <alignment horizontal="center" vertical="top" wrapText="1"/>
      <protection locked="0"/>
    </xf>
    <xf numFmtId="165" fontId="2" fillId="0" borderId="21" xfId="59" applyNumberFormat="1" applyFont="1" applyFill="1" applyBorder="1" applyAlignment="1" applyProtection="1">
      <alignment horizontal="center" vertical="top" wrapText="1"/>
      <protection locked="0"/>
    </xf>
    <xf numFmtId="4" fontId="2" fillId="0" borderId="22" xfId="0" applyNumberFormat="1" applyFont="1" applyFill="1" applyBorder="1" applyAlignment="1">
      <alignment horizontal="center" vertical="top" wrapText="1"/>
    </xf>
    <xf numFmtId="4" fontId="0" fillId="0" borderId="13" xfId="59" applyNumberFormat="1" applyFont="1" applyFill="1" applyBorder="1" applyAlignment="1" applyProtection="1">
      <alignment vertical="top" wrapText="1"/>
      <protection locked="0"/>
    </xf>
    <xf numFmtId="4" fontId="0" fillId="0" borderId="14" xfId="59" applyNumberFormat="1" applyFont="1" applyFill="1" applyBorder="1" applyAlignment="1" applyProtection="1">
      <alignment horizontal="left" vertical="top" wrapText="1"/>
      <protection locked="0"/>
    </xf>
    <xf numFmtId="4" fontId="0" fillId="0" borderId="14" xfId="59" applyNumberFormat="1" applyFont="1" applyFill="1" applyBorder="1" applyAlignment="1" applyProtection="1">
      <alignment vertical="top" wrapText="1"/>
      <protection locked="0"/>
    </xf>
    <xf numFmtId="3" fontId="2" fillId="0" borderId="10" xfId="0" applyNumberFormat="1" applyFont="1" applyBorder="1" applyAlignment="1">
      <alignment horizontal="center" vertical="top" wrapText="1"/>
    </xf>
    <xf numFmtId="0" fontId="0" fillId="0" borderId="0" xfId="0" applyFont="1" applyFill="1" applyAlignment="1">
      <alignment/>
    </xf>
    <xf numFmtId="41" fontId="0" fillId="0" borderId="10" xfId="44" applyNumberFormat="1" applyFont="1" applyBorder="1" applyAlignment="1">
      <alignment/>
    </xf>
    <xf numFmtId="41" fontId="0" fillId="0" borderId="10" xfId="0" applyNumberFormat="1" applyFont="1" applyBorder="1" applyAlignment="1">
      <alignment/>
    </xf>
    <xf numFmtId="165" fontId="0" fillId="0" borderId="0" xfId="0" applyNumberFormat="1" applyFont="1" applyFill="1" applyAlignment="1">
      <alignment horizontal="center" vertical="top" wrapText="1"/>
    </xf>
    <xf numFmtId="165" fontId="0" fillId="0" borderId="16" xfId="59" applyNumberFormat="1" applyFont="1" applyFill="1" applyBorder="1" applyAlignment="1" applyProtection="1">
      <alignment horizontal="center" vertical="top" wrapText="1"/>
      <protection locked="0"/>
    </xf>
    <xf numFmtId="165" fontId="0" fillId="0" borderId="10" xfId="59" applyNumberFormat="1" applyFont="1" applyFill="1" applyBorder="1" applyAlignment="1" applyProtection="1">
      <alignment horizontal="center" vertical="top" wrapText="1"/>
      <protection locked="0"/>
    </xf>
    <xf numFmtId="165" fontId="0" fillId="0" borderId="23" xfId="59" applyNumberFormat="1" applyFont="1" applyFill="1" applyBorder="1" applyAlignment="1" applyProtection="1">
      <alignment horizontal="center" vertical="top" wrapText="1"/>
      <protection locked="0"/>
    </xf>
    <xf numFmtId="165" fontId="0" fillId="0" borderId="24" xfId="59" applyNumberFormat="1" applyFont="1" applyFill="1" applyBorder="1" applyAlignment="1" applyProtection="1">
      <alignment horizontal="center" vertical="top" wrapText="1"/>
      <protection locked="0"/>
    </xf>
    <xf numFmtId="165" fontId="0" fillId="0" borderId="10" xfId="0" applyNumberFormat="1" applyFont="1" applyFill="1" applyBorder="1" applyAlignment="1">
      <alignment horizontal="center" vertical="top" wrapText="1"/>
    </xf>
    <xf numFmtId="165" fontId="0" fillId="0" borderId="14" xfId="59" applyNumberFormat="1" applyFont="1" applyFill="1" applyBorder="1" applyAlignment="1" applyProtection="1">
      <alignment horizontal="center" vertical="top" wrapText="1"/>
      <protection locked="0"/>
    </xf>
    <xf numFmtId="165" fontId="0" fillId="0" borderId="25" xfId="59" applyNumberFormat="1" applyFont="1" applyFill="1" applyBorder="1" applyAlignment="1" applyProtection="1">
      <alignment horizontal="center" vertical="top" wrapText="1"/>
      <protection locked="0"/>
    </xf>
    <xf numFmtId="4" fontId="0" fillId="0" borderId="0" xfId="0" applyNumberFormat="1" applyFont="1" applyFill="1" applyAlignment="1">
      <alignment vertical="top"/>
    </xf>
    <xf numFmtId="3" fontId="0" fillId="0" borderId="10" xfId="0" applyNumberFormat="1" applyBorder="1" applyAlignment="1">
      <alignment horizontal="center"/>
    </xf>
    <xf numFmtId="0" fontId="0" fillId="0" borderId="12" xfId="0" applyBorder="1" applyAlignment="1">
      <alignment horizontal="center"/>
    </xf>
    <xf numFmtId="3" fontId="0" fillId="0" borderId="24" xfId="0" applyNumberFormat="1"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3" fontId="0" fillId="0" borderId="25" xfId="0" applyNumberFormat="1" applyBorder="1" applyAlignment="1">
      <alignment horizontal="center"/>
    </xf>
    <xf numFmtId="0" fontId="0" fillId="0" borderId="15" xfId="0" applyBorder="1" applyAlignment="1">
      <alignment horizontal="center"/>
    </xf>
    <xf numFmtId="3" fontId="0" fillId="0" borderId="16" xfId="0" applyNumberFormat="1" applyBorder="1" applyAlignment="1">
      <alignment horizontal="center"/>
    </xf>
    <xf numFmtId="3" fontId="0" fillId="0" borderId="23" xfId="0" applyNumberFormat="1" applyBorder="1" applyAlignment="1">
      <alignment horizont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165" fontId="0" fillId="0" borderId="14" xfId="0" applyNumberFormat="1" applyFont="1" applyFill="1" applyBorder="1" applyAlignment="1">
      <alignment horizontal="center" vertical="top" wrapText="1"/>
    </xf>
    <xf numFmtId="0" fontId="4" fillId="0" borderId="0" xfId="0" applyFont="1" applyAlignment="1">
      <alignment horizontal="left"/>
    </xf>
    <xf numFmtId="0" fontId="2" fillId="0" borderId="10" xfId="0" applyFont="1" applyBorder="1" applyAlignment="1">
      <alignment horizontal="left" vertical="center"/>
    </xf>
    <xf numFmtId="3" fontId="2" fillId="33" borderId="26" xfId="0" applyNumberFormat="1" applyFont="1" applyFill="1" applyBorder="1" applyAlignment="1">
      <alignment horizontal="center"/>
    </xf>
    <xf numFmtId="0" fontId="2" fillId="33" borderId="27" xfId="0" applyFont="1" applyFill="1" applyBorder="1" applyAlignment="1">
      <alignment/>
    </xf>
    <xf numFmtId="0" fontId="2" fillId="33" borderId="28" xfId="0" applyFont="1" applyFill="1" applyBorder="1" applyAlignment="1">
      <alignment/>
    </xf>
    <xf numFmtId="3" fontId="2" fillId="33" borderId="27"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5" xfId="56"/>
    <cellStyle name="normal_LMSS9901" xfId="57"/>
    <cellStyle name="Normal_Special Schools Funding 2012-13 (sent out 19-03-12)" xfId="58"/>
    <cellStyle name="normal_SRP 2009-10 19-02-09_1" xfId="59"/>
    <cellStyle name="Note" xfId="60"/>
    <cellStyle name="Note 2"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342900</xdr:colOff>
      <xdr:row>14</xdr:row>
      <xdr:rowOff>104775</xdr:rowOff>
    </xdr:from>
    <xdr:ext cx="76200" cy="200025"/>
    <xdr:sp fLocksText="0">
      <xdr:nvSpPr>
        <xdr:cNvPr id="1" name="Text Box 1"/>
        <xdr:cNvSpPr txBox="1">
          <a:spLocks noChangeArrowheads="1"/>
        </xdr:cNvSpPr>
      </xdr:nvSpPr>
      <xdr:spPr>
        <a:xfrm>
          <a:off x="3790950" y="291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xdr:row>
      <xdr:rowOff>104775</xdr:rowOff>
    </xdr:from>
    <xdr:ext cx="76200" cy="180975"/>
    <xdr:sp fLocksText="0">
      <xdr:nvSpPr>
        <xdr:cNvPr id="2" name="Text Box 1"/>
        <xdr:cNvSpPr txBox="1">
          <a:spLocks noChangeArrowheads="1"/>
        </xdr:cNvSpPr>
      </xdr:nvSpPr>
      <xdr:spPr>
        <a:xfrm>
          <a:off x="8115300" y="29146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342900</xdr:colOff>
      <xdr:row>19</xdr:row>
      <xdr:rowOff>104775</xdr:rowOff>
    </xdr:from>
    <xdr:ext cx="76200" cy="200025"/>
    <xdr:sp fLocksText="0">
      <xdr:nvSpPr>
        <xdr:cNvPr id="1" name="Text Box 1"/>
        <xdr:cNvSpPr txBox="1">
          <a:spLocks noChangeArrowheads="1"/>
        </xdr:cNvSpPr>
      </xdr:nvSpPr>
      <xdr:spPr>
        <a:xfrm>
          <a:off x="6629400" y="3743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19</xdr:row>
      <xdr:rowOff>104775</xdr:rowOff>
    </xdr:from>
    <xdr:ext cx="76200" cy="180975"/>
    <xdr:sp fLocksText="0">
      <xdr:nvSpPr>
        <xdr:cNvPr id="2" name="Text Box 1"/>
        <xdr:cNvSpPr txBox="1">
          <a:spLocks noChangeArrowheads="1"/>
        </xdr:cNvSpPr>
      </xdr:nvSpPr>
      <xdr:spPr>
        <a:xfrm>
          <a:off x="12401550" y="3743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ables/table1.xml><?xml version="1.0" encoding="utf-8"?>
<table xmlns="http://schemas.openxmlformats.org/spreadsheetml/2006/main" id="1" name="List12" displayName="List12" ref="K6:K24" comment="" totalsRowShown="0">
  <tableColumns count="1">
    <tableColumn id="1" name="select school"/>
  </tableColumns>
  <tableStyleInfo name="" showFirstColumn="0" showLastColumn="0" showRowStripes="1" showColumnStripes="0"/>
</table>
</file>

<file path=xl/tables/table2.xml><?xml version="1.0" encoding="utf-8"?>
<table xmlns="http://schemas.openxmlformats.org/spreadsheetml/2006/main" id="6" name="List1" displayName="List1" ref="K6:K27" comment="" totalsRowShown="0">
  <autoFilter ref="K6:K27"/>
  <tableColumns count="1">
    <tableColumn id="1" name="select school"/>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24"/>
  <sheetViews>
    <sheetView tabSelected="1" zoomScalePageLayoutView="0" workbookViewId="0" topLeftCell="A1">
      <selection activeCell="I19" sqref="I19"/>
    </sheetView>
  </sheetViews>
  <sheetFormatPr defaultColWidth="9.140625" defaultRowHeight="12.75"/>
  <cols>
    <col min="1" max="1" width="58.00390625" style="3" bestFit="1" customWidth="1"/>
    <col min="2" max="4" width="14.28125" style="8" customWidth="1"/>
    <col min="5" max="5" width="14.28125" style="9" customWidth="1"/>
    <col min="6" max="10" width="9.140625" style="3" customWidth="1"/>
    <col min="11" max="11" width="16.00390625" style="3" hidden="1" customWidth="1"/>
    <col min="12" max="16384" width="9.140625" style="3" customWidth="1"/>
  </cols>
  <sheetData>
    <row r="1" ht="15.75">
      <c r="A1" s="19" t="s">
        <v>77</v>
      </c>
    </row>
    <row r="2" spans="2:5" s="1" customFormat="1" ht="12.75">
      <c r="B2" s="9"/>
      <c r="C2" s="9"/>
      <c r="D2" s="9"/>
      <c r="E2" s="9"/>
    </row>
    <row r="4" spans="1:5" ht="12.75">
      <c r="A4" s="2" t="s">
        <v>45</v>
      </c>
      <c r="B4" s="86" t="s">
        <v>18</v>
      </c>
      <c r="C4" s="87"/>
      <c r="D4" s="87"/>
      <c r="E4" s="88"/>
    </row>
    <row r="6" spans="1:11" ht="51">
      <c r="A6" s="85" t="s">
        <v>85</v>
      </c>
      <c r="B6" s="10" t="s">
        <v>64</v>
      </c>
      <c r="C6" s="10" t="s">
        <v>62</v>
      </c>
      <c r="D6" s="10" t="s">
        <v>61</v>
      </c>
      <c r="E6" s="10" t="s">
        <v>84</v>
      </c>
      <c r="K6" s="1" t="s">
        <v>18</v>
      </c>
    </row>
    <row r="7" spans="1:11" s="1" customFormat="1" ht="12.75">
      <c r="A7" s="2" t="s">
        <v>44</v>
      </c>
      <c r="B7" s="20">
        <v>10000</v>
      </c>
      <c r="C7" s="12" t="e">
        <f>VLOOKUP(B4,'Funding Analysis (Special)'!A:M,4,0)</f>
        <v>#N/A</v>
      </c>
      <c r="D7" s="12" t="e">
        <f>VLOOKUP(B4,'Funding Analysis (Special)'!A:M,5,0)</f>
        <v>#N/A</v>
      </c>
      <c r="E7" s="21" t="e">
        <f>VLOOKUP(B4,'Funding Analysis (Special)'!A:J,6,0)+VLOOKUP(B4,'Funding Analysis (Special)'!A:I,7,0)</f>
        <v>#N/A</v>
      </c>
      <c r="K7" s="22" t="s">
        <v>10</v>
      </c>
    </row>
    <row r="8" spans="1:11" ht="12.75">
      <c r="A8" s="4"/>
      <c r="B8" s="20"/>
      <c r="C8" s="12"/>
      <c r="D8" s="12"/>
      <c r="E8" s="21"/>
      <c r="K8" s="23" t="s">
        <v>13</v>
      </c>
    </row>
    <row r="9" spans="1:11" ht="12.75">
      <c r="A9" s="2" t="s">
        <v>60</v>
      </c>
      <c r="B9" s="20"/>
      <c r="C9" s="12"/>
      <c r="D9" s="12"/>
      <c r="E9" s="21" t="e">
        <f>VLOOKUP(B4,'Funding Analysis (Special)'!A:M,9,0)</f>
        <v>#N/A</v>
      </c>
      <c r="K9" s="23" t="s">
        <v>14</v>
      </c>
    </row>
    <row r="10" spans="1:11" ht="12.75">
      <c r="A10" s="5"/>
      <c r="B10" s="12"/>
      <c r="C10" s="12"/>
      <c r="D10" s="12"/>
      <c r="E10" s="21"/>
      <c r="K10" s="22" t="s">
        <v>11</v>
      </c>
    </row>
    <row r="11" spans="1:11" ht="12.75">
      <c r="A11" s="4"/>
      <c r="B11" s="12"/>
      <c r="C11" s="12"/>
      <c r="D11" s="12"/>
      <c r="E11" s="21"/>
      <c r="K11" s="22" t="s">
        <v>33</v>
      </c>
    </row>
    <row r="12" spans="1:11" s="1" customFormat="1" ht="12.75">
      <c r="A12" s="2" t="s">
        <v>83</v>
      </c>
      <c r="B12" s="11"/>
      <c r="C12" s="11"/>
      <c r="D12" s="11"/>
      <c r="E12" s="21" t="e">
        <f>E7+E9</f>
        <v>#N/A</v>
      </c>
      <c r="K12" s="23" t="s">
        <v>21</v>
      </c>
    </row>
    <row r="13" spans="1:11" s="6" customFormat="1" ht="12.75">
      <c r="A13" s="7"/>
      <c r="B13" s="13"/>
      <c r="C13" s="13"/>
      <c r="D13" s="15"/>
      <c r="E13" s="14"/>
      <c r="K13" s="22" t="s">
        <v>12</v>
      </c>
    </row>
    <row r="14" spans="1:11" ht="12.75">
      <c r="A14" s="6"/>
      <c r="B14" s="15"/>
      <c r="C14" s="15"/>
      <c r="D14" s="15"/>
      <c r="E14" s="14"/>
      <c r="K14" s="22" t="s">
        <v>25</v>
      </c>
    </row>
    <row r="15" spans="1:11" ht="12.75">
      <c r="A15" s="1" t="s">
        <v>19</v>
      </c>
      <c r="K15" s="6"/>
    </row>
    <row r="16" ht="38.25">
      <c r="A16" s="18" t="s">
        <v>46</v>
      </c>
    </row>
    <row r="17" ht="51">
      <c r="A17" s="18" t="s">
        <v>75</v>
      </c>
    </row>
    <row r="18" ht="51.75" customHeight="1">
      <c r="A18" s="18" t="s">
        <v>47</v>
      </c>
    </row>
    <row r="19" spans="1:11" ht="25.5">
      <c r="A19" s="16" t="s">
        <v>20</v>
      </c>
      <c r="K19" s="23"/>
    </row>
    <row r="20" ht="12.75">
      <c r="K20" s="22"/>
    </row>
    <row r="21" ht="12.75">
      <c r="K21" s="22"/>
    </row>
    <row r="22" ht="12.75">
      <c r="K22" s="22"/>
    </row>
    <row r="23" ht="12.75">
      <c r="K23" s="22"/>
    </row>
    <row r="24" ht="12.75">
      <c r="K24" s="22"/>
    </row>
  </sheetData>
  <sheetProtection/>
  <mergeCells count="1">
    <mergeCell ref="B4:E4"/>
  </mergeCells>
  <dataValidations count="1">
    <dataValidation type="list" allowBlank="1" showInputMessage="1" showErrorMessage="1" sqref="B4:E4">
      <formula1>$K$6:$K$14</formula1>
    </dataValidation>
  </dataValidations>
  <printOptions/>
  <pageMargins left="0.35433070866141736" right="0.2755905511811024" top="0.5905511811023623" bottom="0.5118110236220472" header="0.31496062992125984" footer="0.2755905511811024"/>
  <pageSetup fitToHeight="1" fitToWidth="1" horizontalDpi="600" verticalDpi="600" orientation="landscape" paperSize="9" scale="93"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O14"/>
  <sheetViews>
    <sheetView zoomScalePageLayoutView="0" workbookViewId="0" topLeftCell="A1">
      <pane xSplit="1" ySplit="4" topLeftCell="C5" activePane="bottomRight" state="frozen"/>
      <selection pane="topLeft" activeCell="A1" sqref="A1"/>
      <selection pane="topRight" activeCell="C1" sqref="C1"/>
      <selection pane="bottomLeft" activeCell="A5" sqref="A5"/>
      <selection pane="bottomRight" activeCell="J5" sqref="J5:J12"/>
    </sheetView>
  </sheetViews>
  <sheetFormatPr defaultColWidth="9.140625" defaultRowHeight="12.75"/>
  <cols>
    <col min="1" max="1" width="23.8515625" style="33" customWidth="1"/>
    <col min="2" max="2" width="17.8515625" style="33" bestFit="1" customWidth="1"/>
    <col min="3" max="3" width="10.00390625" style="33" bestFit="1" customWidth="1"/>
    <col min="4" max="8" width="14.00390625" style="34" customWidth="1"/>
    <col min="9" max="9" width="14.00390625" style="35" customWidth="1"/>
    <col min="10" max="10" width="11.7109375" style="33" bestFit="1" customWidth="1"/>
    <col min="11" max="11" width="72.8515625" style="33" bestFit="1" customWidth="1"/>
    <col min="12" max="12" width="10.140625" style="33" bestFit="1" customWidth="1"/>
    <col min="13" max="16384" width="9.140625" style="33" customWidth="1"/>
  </cols>
  <sheetData>
    <row r="1" ht="15.75">
      <c r="A1" s="19" t="s">
        <v>78</v>
      </c>
    </row>
    <row r="3" ht="13.5" thickBot="1"/>
    <row r="4" spans="1:15" s="36" customFormat="1" ht="51">
      <c r="A4" s="51" t="s">
        <v>0</v>
      </c>
      <c r="B4" s="52" t="s">
        <v>32</v>
      </c>
      <c r="C4" s="52" t="s">
        <v>15</v>
      </c>
      <c r="D4" s="53" t="s">
        <v>51</v>
      </c>
      <c r="E4" s="53" t="s">
        <v>52</v>
      </c>
      <c r="F4" s="53" t="s">
        <v>73</v>
      </c>
      <c r="G4" s="53" t="s">
        <v>74</v>
      </c>
      <c r="H4" s="53" t="s">
        <v>53</v>
      </c>
      <c r="I4" s="54" t="s">
        <v>81</v>
      </c>
      <c r="J4" s="37"/>
      <c r="K4" s="37"/>
      <c r="L4" s="37"/>
      <c r="M4" s="37"/>
      <c r="N4" s="37"/>
      <c r="O4" s="37"/>
    </row>
    <row r="5" spans="1:13" ht="12.75">
      <c r="A5" s="28" t="s">
        <v>10</v>
      </c>
      <c r="B5" s="29" t="s">
        <v>36</v>
      </c>
      <c r="C5" s="29" t="s">
        <v>17</v>
      </c>
      <c r="D5" s="67">
        <v>96</v>
      </c>
      <c r="E5" s="67">
        <v>113</v>
      </c>
      <c r="F5" s="64"/>
      <c r="G5" s="64">
        <f>D5*10000*(5/12)+E5*10000*(7/12)</f>
        <v>1059166.6666666667</v>
      </c>
      <c r="H5" s="64">
        <v>71</v>
      </c>
      <c r="I5" s="66">
        <v>1493000</v>
      </c>
      <c r="J5" s="37"/>
      <c r="K5" s="41"/>
      <c r="L5" s="42"/>
      <c r="M5" s="42"/>
    </row>
    <row r="6" spans="1:13" ht="12.75">
      <c r="A6" s="28" t="s">
        <v>13</v>
      </c>
      <c r="B6" s="29" t="s">
        <v>36</v>
      </c>
      <c r="C6" s="29" t="s">
        <v>16</v>
      </c>
      <c r="D6" s="67">
        <v>145</v>
      </c>
      <c r="E6" s="67">
        <v>145</v>
      </c>
      <c r="F6" s="64">
        <f>D6*10000*(5/12)+E6*10000*(7/12)</f>
        <v>1450000</v>
      </c>
      <c r="G6" s="64"/>
      <c r="H6" s="64">
        <v>146</v>
      </c>
      <c r="I6" s="66">
        <v>2505000</v>
      </c>
      <c r="J6" s="37"/>
      <c r="K6" s="41"/>
      <c r="L6" s="42"/>
      <c r="M6" s="42"/>
    </row>
    <row r="7" spans="1:13" ht="12.75">
      <c r="A7" s="28" t="s">
        <v>14</v>
      </c>
      <c r="B7" s="29" t="s">
        <v>38</v>
      </c>
      <c r="C7" s="29" t="s">
        <v>16</v>
      </c>
      <c r="D7" s="67">
        <v>235</v>
      </c>
      <c r="E7" s="67">
        <v>235</v>
      </c>
      <c r="F7" s="67">
        <f>D7*10000*(5/12)+E7*10000*(7/12)</f>
        <v>2350000</v>
      </c>
      <c r="G7" s="64"/>
      <c r="H7" s="64">
        <v>228</v>
      </c>
      <c r="I7" s="66">
        <v>3300000</v>
      </c>
      <c r="J7" s="37"/>
      <c r="K7" s="41"/>
      <c r="L7" s="42"/>
      <c r="M7" s="42"/>
    </row>
    <row r="8" spans="1:13" ht="12.75">
      <c r="A8" s="28" t="s">
        <v>11</v>
      </c>
      <c r="B8" s="29" t="s">
        <v>38</v>
      </c>
      <c r="C8" s="29" t="s">
        <v>17</v>
      </c>
      <c r="D8" s="67">
        <v>70</v>
      </c>
      <c r="E8" s="67">
        <v>70</v>
      </c>
      <c r="F8" s="64"/>
      <c r="G8" s="64">
        <f>D8*10000*(5/12)+E8*10000*(7/12)</f>
        <v>700000</v>
      </c>
      <c r="H8" s="67">
        <v>66</v>
      </c>
      <c r="I8" s="66">
        <v>1640000</v>
      </c>
      <c r="J8" s="37"/>
      <c r="K8" s="41"/>
      <c r="L8" s="42"/>
      <c r="M8" s="42"/>
    </row>
    <row r="9" spans="1:13" ht="12.75">
      <c r="A9" s="28" t="s">
        <v>33</v>
      </c>
      <c r="B9" s="29" t="s">
        <v>40</v>
      </c>
      <c r="C9" s="29" t="s">
        <v>41</v>
      </c>
      <c r="D9" s="67">
        <v>140</v>
      </c>
      <c r="E9" s="67">
        <v>147</v>
      </c>
      <c r="F9" s="64"/>
      <c r="G9" s="64">
        <f>D9*10000*(5/12)+E9*10000*(7/12)</f>
        <v>1440833.3333333335</v>
      </c>
      <c r="H9" s="67">
        <v>107</v>
      </c>
      <c r="I9" s="66">
        <v>1835000</v>
      </c>
      <c r="J9" s="37"/>
      <c r="K9" s="41"/>
      <c r="L9" s="42"/>
      <c r="M9" s="42"/>
    </row>
    <row r="10" spans="1:13" ht="12.75">
      <c r="A10" s="28" t="s">
        <v>12</v>
      </c>
      <c r="B10" s="29" t="s">
        <v>36</v>
      </c>
      <c r="C10" s="29" t="s">
        <v>17</v>
      </c>
      <c r="D10" s="67">
        <v>38</v>
      </c>
      <c r="E10" s="67">
        <v>38</v>
      </c>
      <c r="F10" s="67">
        <v>0</v>
      </c>
      <c r="G10" s="64">
        <f>D10*10000*(5/12)+E10*10000*(7/12)</f>
        <v>380000</v>
      </c>
      <c r="H10" s="64">
        <v>25</v>
      </c>
      <c r="I10" s="66">
        <v>355000</v>
      </c>
      <c r="J10" s="37"/>
      <c r="K10" s="41"/>
      <c r="L10" s="42"/>
      <c r="M10" s="42"/>
    </row>
    <row r="11" spans="1:13" ht="12.75">
      <c r="A11" s="28" t="s">
        <v>25</v>
      </c>
      <c r="B11" s="29" t="s">
        <v>38</v>
      </c>
      <c r="C11" s="29" t="s">
        <v>17</v>
      </c>
      <c r="D11" s="67">
        <v>65</v>
      </c>
      <c r="E11" s="67">
        <v>65</v>
      </c>
      <c r="F11" s="67">
        <f>5*10000/12*5</f>
        <v>20833.333333333336</v>
      </c>
      <c r="G11" s="64">
        <f>D11*10000*(5/12)+E11*10000*(7/12)-F11</f>
        <v>629166.6666666666</v>
      </c>
      <c r="H11" s="64">
        <v>42</v>
      </c>
      <c r="I11" s="66">
        <f>945000+(8*5000)</f>
        <v>985000</v>
      </c>
      <c r="J11" s="37"/>
      <c r="K11" s="41"/>
      <c r="L11" s="42"/>
      <c r="M11" s="42"/>
    </row>
    <row r="12" spans="1:10" ht="13.5" thickBot="1">
      <c r="A12" s="31" t="s">
        <v>21</v>
      </c>
      <c r="B12" s="32" t="s">
        <v>59</v>
      </c>
      <c r="C12" s="32" t="s">
        <v>17</v>
      </c>
      <c r="D12" s="83">
        <v>70</v>
      </c>
      <c r="E12" s="83">
        <v>70</v>
      </c>
      <c r="F12" s="83"/>
      <c r="G12" s="68">
        <v>700000</v>
      </c>
      <c r="H12" s="68">
        <v>70</v>
      </c>
      <c r="I12" s="69">
        <v>733300</v>
      </c>
      <c r="J12" s="37"/>
    </row>
    <row r="14" ht="12.75">
      <c r="A14" s="70" t="s">
        <v>82</v>
      </c>
    </row>
  </sheetData>
  <sheetProtection selectLockedCells="1" selectUnlockedCells="1"/>
  <printOptions/>
  <pageMargins left="0.32" right="0.25" top="1" bottom="1" header="0.5" footer="0.5"/>
  <pageSetup fitToHeight="1" fitToWidth="1" horizontalDpi="600" verticalDpi="600" orientation="landscape" paperSize="9" r:id="rId2"/>
  <ignoredErrors>
    <ignoredError sqref="G5:G11 F6 I11" unlockedFormula="1"/>
  </ignoredErrors>
  <drawing r:id="rId1"/>
</worksheet>
</file>

<file path=xl/worksheets/sheet3.xml><?xml version="1.0" encoding="utf-8"?>
<worksheet xmlns="http://schemas.openxmlformats.org/spreadsheetml/2006/main" xmlns:r="http://schemas.openxmlformats.org/officeDocument/2006/relationships">
  <dimension ref="A2:G4"/>
  <sheetViews>
    <sheetView zoomScalePageLayoutView="0" workbookViewId="0" topLeftCell="A1">
      <selection activeCell="E26" sqref="E26"/>
    </sheetView>
  </sheetViews>
  <sheetFormatPr defaultColWidth="9.140625" defaultRowHeight="12.75"/>
  <cols>
    <col min="1" max="1" width="12.7109375" style="0" customWidth="1"/>
    <col min="2" max="5" width="20.00390625" style="0" customWidth="1"/>
    <col min="6" max="6" width="23.28125" style="0" customWidth="1"/>
    <col min="7" max="7" width="20.00390625" style="0" customWidth="1"/>
  </cols>
  <sheetData>
    <row r="2" spans="2:7" ht="12.75">
      <c r="B2" t="s">
        <v>26</v>
      </c>
      <c r="C2" t="s">
        <v>27</v>
      </c>
      <c r="D2" t="s">
        <v>28</v>
      </c>
      <c r="E2" t="s">
        <v>29</v>
      </c>
      <c r="F2" s="24" t="s">
        <v>31</v>
      </c>
      <c r="G2" t="s">
        <v>30</v>
      </c>
    </row>
    <row r="3" spans="1:6" ht="12.75">
      <c r="A3" t="s">
        <v>13</v>
      </c>
      <c r="B3">
        <v>56760</v>
      </c>
      <c r="D3">
        <v>10287</v>
      </c>
      <c r="E3">
        <v>8644</v>
      </c>
      <c r="F3">
        <v>8658</v>
      </c>
    </row>
    <row r="4" spans="1:7" ht="12.75">
      <c r="A4" t="s">
        <v>14</v>
      </c>
      <c r="B4">
        <v>65450</v>
      </c>
      <c r="C4">
        <v>300</v>
      </c>
      <c r="F4">
        <v>11594</v>
      </c>
      <c r="G4">
        <v>2932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B4" sqref="B4:E4"/>
    </sheetView>
  </sheetViews>
  <sheetFormatPr defaultColWidth="9.140625" defaultRowHeight="12.75"/>
  <cols>
    <col min="1" max="1" width="58.00390625" style="3" bestFit="1" customWidth="1"/>
    <col min="2" max="4" width="14.28125" style="8" customWidth="1"/>
    <col min="5" max="5" width="14.28125" style="9" customWidth="1"/>
    <col min="6" max="10" width="9.140625" style="3" customWidth="1"/>
    <col min="11" max="11" width="16.00390625" style="3" hidden="1" customWidth="1"/>
    <col min="12" max="12" width="9.140625" style="3" customWidth="1"/>
    <col min="13" max="16384" width="9.140625" style="3" customWidth="1"/>
  </cols>
  <sheetData>
    <row r="1" ht="15.75">
      <c r="A1" s="19" t="s">
        <v>76</v>
      </c>
    </row>
    <row r="2" spans="2:5" s="1" customFormat="1" ht="12.75">
      <c r="B2" s="9"/>
      <c r="C2" s="9"/>
      <c r="D2" s="9"/>
      <c r="E2" s="9"/>
    </row>
    <row r="4" spans="1:5" ht="12.75">
      <c r="A4" s="2" t="s">
        <v>0</v>
      </c>
      <c r="B4" s="86" t="s">
        <v>18</v>
      </c>
      <c r="C4" s="89"/>
      <c r="D4" s="87"/>
      <c r="E4" s="88"/>
    </row>
    <row r="6" spans="1:11" ht="38.25">
      <c r="A6" s="85" t="s">
        <v>86</v>
      </c>
      <c r="B6" s="58" t="s">
        <v>64</v>
      </c>
      <c r="C6" s="46" t="s">
        <v>49</v>
      </c>
      <c r="D6" s="58" t="s">
        <v>50</v>
      </c>
      <c r="E6" s="58" t="s">
        <v>87</v>
      </c>
      <c r="K6" s="1" t="s">
        <v>18</v>
      </c>
    </row>
    <row r="7" spans="1:11" s="1" customFormat="1" ht="12.75">
      <c r="A7" s="2" t="s">
        <v>42</v>
      </c>
      <c r="B7" s="20">
        <v>6000</v>
      </c>
      <c r="C7" s="60" t="e">
        <f>VLOOKUP(B4,'Funding Analysis (SRP)'!A:N,6,0)</f>
        <v>#N/A</v>
      </c>
      <c r="D7" s="61"/>
      <c r="E7" s="21" t="e">
        <f>B7*C7</f>
        <v>#N/A</v>
      </c>
      <c r="K7" s="6" t="s">
        <v>22</v>
      </c>
    </row>
    <row r="8" spans="1:11" s="1" customFormat="1" ht="12.75">
      <c r="A8" s="2" t="s">
        <v>43</v>
      </c>
      <c r="B8" s="20">
        <v>10000</v>
      </c>
      <c r="C8" s="60"/>
      <c r="D8" s="61" t="e">
        <f>VLOOKUP(B4,'Funding Analysis (SRP)'!A:N,8,0)</f>
        <v>#N/A</v>
      </c>
      <c r="E8" s="21" t="e">
        <f>B8*D8</f>
        <v>#N/A</v>
      </c>
      <c r="K8" s="3" t="s">
        <v>1</v>
      </c>
    </row>
    <row r="9" spans="1:11" s="1" customFormat="1" ht="12.75">
      <c r="A9" s="2" t="s">
        <v>80</v>
      </c>
      <c r="B9" s="20"/>
      <c r="C9" s="60"/>
      <c r="D9" s="61"/>
      <c r="E9" s="21" t="e">
        <f>VLOOKUP(B4,'Funding Analysis (SRP)'!A5:N17,10,0)</f>
        <v>#N/A</v>
      </c>
      <c r="K9" s="3" t="s">
        <v>2</v>
      </c>
    </row>
    <row r="10" spans="1:11" ht="12.75">
      <c r="A10" s="4"/>
      <c r="B10" s="20"/>
      <c r="C10" s="20"/>
      <c r="D10" s="12"/>
      <c r="E10" s="21"/>
      <c r="K10" s="3" t="s">
        <v>3</v>
      </c>
    </row>
    <row r="11" spans="1:11" ht="12.75">
      <c r="A11" s="2" t="s">
        <v>60</v>
      </c>
      <c r="B11" s="20"/>
      <c r="C11" s="12"/>
      <c r="D11" s="12"/>
      <c r="E11" s="21" t="e">
        <f>VLOOKUP(B4,'Funding Analysis (SRP)'!A:N,14,0)</f>
        <v>#N/A</v>
      </c>
      <c r="K11" s="3" t="s">
        <v>4</v>
      </c>
    </row>
    <row r="12" spans="1:11" ht="12.75">
      <c r="A12" s="5"/>
      <c r="B12" s="12"/>
      <c r="C12" s="12"/>
      <c r="D12" s="12"/>
      <c r="E12" s="21"/>
      <c r="K12" s="17" t="s">
        <v>7</v>
      </c>
    </row>
    <row r="13" spans="1:11" ht="12.75">
      <c r="A13" s="4"/>
      <c r="B13" s="12"/>
      <c r="C13" s="12"/>
      <c r="D13" s="12"/>
      <c r="E13" s="21"/>
      <c r="K13" s="23" t="s">
        <v>5</v>
      </c>
    </row>
    <row r="14" spans="1:11" s="1" customFormat="1" ht="12.75">
      <c r="A14" s="2" t="s">
        <v>83</v>
      </c>
      <c r="B14" s="11"/>
      <c r="C14" s="11"/>
      <c r="D14" s="11"/>
      <c r="E14" s="21" t="e">
        <f>E7+E8+E9+E11</f>
        <v>#N/A</v>
      </c>
      <c r="K14" s="22" t="s">
        <v>23</v>
      </c>
    </row>
    <row r="15" spans="1:11" s="6" customFormat="1" ht="12.75">
      <c r="A15" s="7"/>
      <c r="B15" s="13"/>
      <c r="C15" s="13"/>
      <c r="D15" s="13"/>
      <c r="E15" s="14"/>
      <c r="K15" s="22" t="s">
        <v>8</v>
      </c>
    </row>
    <row r="16" spans="1:11" ht="12.75">
      <c r="A16" s="6"/>
      <c r="B16" s="15"/>
      <c r="C16" s="15"/>
      <c r="D16" s="15"/>
      <c r="E16" s="14"/>
      <c r="K16" s="23" t="s">
        <v>39</v>
      </c>
    </row>
    <row r="17" spans="1:11" ht="12.75">
      <c r="A17" s="1" t="s">
        <v>19</v>
      </c>
      <c r="K17" s="22" t="s">
        <v>6</v>
      </c>
    </row>
    <row r="18" spans="1:11" ht="38.25">
      <c r="A18" s="18" t="s">
        <v>46</v>
      </c>
      <c r="K18" s="22" t="s">
        <v>24</v>
      </c>
    </row>
    <row r="19" spans="1:11" ht="51">
      <c r="A19" s="18" t="s">
        <v>48</v>
      </c>
      <c r="K19" s="22" t="s">
        <v>9</v>
      </c>
    </row>
    <row r="20" spans="1:11" ht="51">
      <c r="A20" s="18" t="s">
        <v>75</v>
      </c>
      <c r="K20" s="59"/>
    </row>
    <row r="21" spans="1:11" ht="51.75" customHeight="1">
      <c r="A21" s="18" t="s">
        <v>47</v>
      </c>
      <c r="K21" s="43"/>
    </row>
    <row r="22" spans="1:11" ht="25.5">
      <c r="A22" s="16" t="s">
        <v>20</v>
      </c>
      <c r="K22" s="22"/>
    </row>
    <row r="23" ht="12.75">
      <c r="K23" s="23"/>
    </row>
    <row r="24" ht="12.75">
      <c r="K24" s="23"/>
    </row>
    <row r="25" ht="12.75">
      <c r="K25" s="22"/>
    </row>
    <row r="26" ht="12.75">
      <c r="K26" s="22"/>
    </row>
    <row r="27" ht="12.75">
      <c r="K27" s="22"/>
    </row>
  </sheetData>
  <sheetProtection/>
  <mergeCells count="1">
    <mergeCell ref="B4:E4"/>
  </mergeCells>
  <dataValidations count="1">
    <dataValidation type="list" allowBlank="1" showInputMessage="1" showErrorMessage="1" sqref="B4:E4">
      <formula1>$K$6:$K$19</formula1>
    </dataValidation>
  </dataValidations>
  <printOptions/>
  <pageMargins left="0.35433070866141736" right="0.2755905511811024" top="0.5905511811023623" bottom="0.5118110236220472" header="0.31496062992125984" footer="0.2755905511811024"/>
  <pageSetup fitToHeight="1" fitToWidth="1" horizontalDpi="600" verticalDpi="600" orientation="landscape" paperSize="9" scale="82"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T17"/>
  <sheetViews>
    <sheetView zoomScalePageLayoutView="0" workbookViewId="0" topLeftCell="A1">
      <pane xSplit="1" ySplit="4" topLeftCell="H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2.75"/>
  <cols>
    <col min="1" max="1" width="15.28125" style="33" customWidth="1"/>
    <col min="2" max="2" width="7.8515625" style="33" bestFit="1" customWidth="1"/>
    <col min="3" max="3" width="10.00390625" style="33" bestFit="1" customWidth="1"/>
    <col min="4" max="5" width="15.28125" style="35" customWidth="1"/>
    <col min="6" max="13" width="15.28125" style="62" customWidth="1"/>
    <col min="14" max="14" width="15.28125" style="35" customWidth="1"/>
    <col min="15" max="15" width="15.00390625" style="33" customWidth="1"/>
    <col min="16" max="16" width="72.8515625" style="33" bestFit="1" customWidth="1"/>
    <col min="17" max="17" width="10.140625" style="33" bestFit="1" customWidth="1"/>
    <col min="18" max="16384" width="9.140625" style="33" customWidth="1"/>
  </cols>
  <sheetData>
    <row r="1" ht="15.75">
      <c r="A1" s="19" t="s">
        <v>79</v>
      </c>
    </row>
    <row r="3" ht="13.5" thickBot="1"/>
    <row r="4" spans="1:20" s="36" customFormat="1" ht="52.5" customHeight="1" thickBot="1">
      <c r="A4" s="47" t="s">
        <v>0</v>
      </c>
      <c r="B4" s="48" t="s">
        <v>32</v>
      </c>
      <c r="C4" s="48" t="s">
        <v>15</v>
      </c>
      <c r="D4" s="48" t="s">
        <v>54</v>
      </c>
      <c r="E4" s="48" t="s">
        <v>55</v>
      </c>
      <c r="F4" s="49" t="s">
        <v>56</v>
      </c>
      <c r="G4" s="49" t="s">
        <v>65</v>
      </c>
      <c r="H4" s="49" t="s">
        <v>57</v>
      </c>
      <c r="I4" s="49" t="s">
        <v>66</v>
      </c>
      <c r="J4" s="49" t="s">
        <v>67</v>
      </c>
      <c r="K4" s="49" t="s">
        <v>70</v>
      </c>
      <c r="L4" s="49" t="s">
        <v>69</v>
      </c>
      <c r="M4" s="49" t="s">
        <v>58</v>
      </c>
      <c r="N4" s="50" t="s">
        <v>68</v>
      </c>
      <c r="O4" s="37"/>
      <c r="P4" s="37"/>
      <c r="Q4" s="37"/>
      <c r="R4" s="37"/>
      <c r="S4" s="37"/>
      <c r="T4" s="37"/>
    </row>
    <row r="5" spans="1:20" s="36" customFormat="1" ht="12.75">
      <c r="A5" s="44" t="s">
        <v>22</v>
      </c>
      <c r="B5" s="45" t="s">
        <v>35</v>
      </c>
      <c r="C5" s="45" t="s">
        <v>16</v>
      </c>
      <c r="D5" s="63">
        <v>10</v>
      </c>
      <c r="E5" s="63">
        <v>10</v>
      </c>
      <c r="F5" s="63">
        <v>10</v>
      </c>
      <c r="G5" s="63">
        <f>F5*6000</f>
        <v>60000</v>
      </c>
      <c r="H5" s="63"/>
      <c r="I5" s="63">
        <f>H5*10000</f>
        <v>0</v>
      </c>
      <c r="J5" s="63"/>
      <c r="K5" s="64">
        <f>G5+I5+J5</f>
        <v>60000</v>
      </c>
      <c r="L5" s="63"/>
      <c r="M5" s="63">
        <v>10</v>
      </c>
      <c r="N5" s="65">
        <v>125000</v>
      </c>
      <c r="O5" s="37"/>
      <c r="P5" s="41"/>
      <c r="Q5" s="42"/>
      <c r="R5" s="42"/>
      <c r="S5" s="37"/>
      <c r="T5" s="37"/>
    </row>
    <row r="6" spans="1:18" s="38" customFormat="1" ht="12.75">
      <c r="A6" s="27" t="s">
        <v>1</v>
      </c>
      <c r="B6" s="26" t="s">
        <v>35</v>
      </c>
      <c r="C6" s="26" t="s">
        <v>16</v>
      </c>
      <c r="D6" s="64">
        <v>10</v>
      </c>
      <c r="E6" s="64">
        <v>10</v>
      </c>
      <c r="F6" s="64">
        <v>6</v>
      </c>
      <c r="G6" s="64">
        <f>F6*6000</f>
        <v>36000</v>
      </c>
      <c r="H6" s="64">
        <v>4</v>
      </c>
      <c r="I6" s="64">
        <f>H6*10000</f>
        <v>40000</v>
      </c>
      <c r="J6" s="64"/>
      <c r="K6" s="64">
        <f>G6+I6+J6</f>
        <v>76000</v>
      </c>
      <c r="L6" s="64"/>
      <c r="M6" s="64">
        <v>6</v>
      </c>
      <c r="N6" s="66">
        <v>80000</v>
      </c>
      <c r="O6" s="37"/>
      <c r="P6" s="41"/>
      <c r="Q6" s="42"/>
      <c r="R6" s="42"/>
    </row>
    <row r="7" spans="1:18" ht="12.75">
      <c r="A7" s="27" t="s">
        <v>2</v>
      </c>
      <c r="B7" s="26" t="s">
        <v>35</v>
      </c>
      <c r="C7" s="26" t="s">
        <v>17</v>
      </c>
      <c r="D7" s="64">
        <v>13</v>
      </c>
      <c r="E7" s="64">
        <v>13</v>
      </c>
      <c r="F7" s="64">
        <v>13</v>
      </c>
      <c r="G7" s="64">
        <f aca="true" t="shared" si="0" ref="G7:G17">F7*6000</f>
        <v>78000</v>
      </c>
      <c r="H7" s="64"/>
      <c r="I7" s="64">
        <f aca="true" t="shared" si="1" ref="I7:I17">H7*10000</f>
        <v>0</v>
      </c>
      <c r="J7" s="64"/>
      <c r="K7" s="64"/>
      <c r="L7" s="64">
        <f>F7*6000+H7*10000+J7</f>
        <v>78000</v>
      </c>
      <c r="M7" s="64">
        <v>13</v>
      </c>
      <c r="N7" s="66">
        <v>140000</v>
      </c>
      <c r="O7" s="37"/>
      <c r="P7" s="41"/>
      <c r="Q7" s="42"/>
      <c r="R7" s="42"/>
    </row>
    <row r="8" spans="1:18" ht="12.75">
      <c r="A8" s="27" t="s">
        <v>3</v>
      </c>
      <c r="B8" s="26" t="s">
        <v>35</v>
      </c>
      <c r="C8" s="26" t="s">
        <v>16</v>
      </c>
      <c r="D8" s="64">
        <v>8</v>
      </c>
      <c r="E8" s="64">
        <v>8</v>
      </c>
      <c r="F8" s="64">
        <v>5</v>
      </c>
      <c r="G8" s="64">
        <f t="shared" si="0"/>
        <v>30000</v>
      </c>
      <c r="H8" s="64">
        <v>3</v>
      </c>
      <c r="I8" s="64">
        <f t="shared" si="1"/>
        <v>30000</v>
      </c>
      <c r="J8" s="64"/>
      <c r="K8" s="64">
        <f>G8+I8+J8</f>
        <v>60000</v>
      </c>
      <c r="L8" s="64"/>
      <c r="M8" s="64">
        <v>6</v>
      </c>
      <c r="N8" s="66">
        <v>65500</v>
      </c>
      <c r="O8" s="37"/>
      <c r="P8" s="41"/>
      <c r="Q8" s="42"/>
      <c r="R8" s="42"/>
    </row>
    <row r="9" spans="1:18" ht="12.75">
      <c r="A9" s="27" t="s">
        <v>4</v>
      </c>
      <c r="B9" s="26" t="s">
        <v>35</v>
      </c>
      <c r="C9" s="26" t="s">
        <v>16</v>
      </c>
      <c r="D9" s="64">
        <v>10</v>
      </c>
      <c r="E9" s="64">
        <v>10</v>
      </c>
      <c r="F9" s="64">
        <v>9</v>
      </c>
      <c r="G9" s="64">
        <f t="shared" si="0"/>
        <v>54000</v>
      </c>
      <c r="H9" s="64">
        <v>1</v>
      </c>
      <c r="I9" s="64">
        <f t="shared" si="1"/>
        <v>10000</v>
      </c>
      <c r="J9" s="64"/>
      <c r="K9" s="64">
        <f>G9+I9+J9</f>
        <v>64000</v>
      </c>
      <c r="L9" s="64"/>
      <c r="M9" s="64">
        <v>9</v>
      </c>
      <c r="N9" s="66">
        <v>95000</v>
      </c>
      <c r="O9" s="37"/>
      <c r="P9" s="41"/>
      <c r="Q9" s="42"/>
      <c r="R9" s="42"/>
    </row>
    <row r="10" spans="1:18" ht="12.75">
      <c r="A10" s="27" t="s">
        <v>7</v>
      </c>
      <c r="B10" s="30" t="s">
        <v>37</v>
      </c>
      <c r="C10" s="26" t="s">
        <v>16</v>
      </c>
      <c r="D10" s="64">
        <v>7</v>
      </c>
      <c r="E10" s="64">
        <v>7</v>
      </c>
      <c r="F10" s="64">
        <v>5</v>
      </c>
      <c r="G10" s="64">
        <f t="shared" si="0"/>
        <v>30000</v>
      </c>
      <c r="H10" s="64">
        <v>2</v>
      </c>
      <c r="I10" s="64">
        <f t="shared" si="1"/>
        <v>20000</v>
      </c>
      <c r="J10" s="64"/>
      <c r="K10" s="64">
        <f>G10+I10+J10</f>
        <v>50000</v>
      </c>
      <c r="L10" s="64"/>
      <c r="M10" s="64">
        <v>6</v>
      </c>
      <c r="N10" s="66">
        <v>58500</v>
      </c>
      <c r="O10" s="37"/>
      <c r="P10" s="41"/>
      <c r="Q10" s="42"/>
      <c r="R10" s="42"/>
    </row>
    <row r="11" spans="1:18" ht="12.75">
      <c r="A11" s="27" t="s">
        <v>5</v>
      </c>
      <c r="B11" s="26" t="s">
        <v>35</v>
      </c>
      <c r="C11" s="26" t="s">
        <v>16</v>
      </c>
      <c r="D11" s="64">
        <v>14</v>
      </c>
      <c r="E11" s="64">
        <v>13</v>
      </c>
      <c r="F11" s="64">
        <v>13</v>
      </c>
      <c r="G11" s="64">
        <f t="shared" si="0"/>
        <v>78000</v>
      </c>
      <c r="H11" s="64">
        <v>1</v>
      </c>
      <c r="I11" s="64">
        <f t="shared" si="1"/>
        <v>10000</v>
      </c>
      <c r="J11" s="64"/>
      <c r="K11" s="64">
        <f>G11+I11+J11</f>
        <v>88000</v>
      </c>
      <c r="L11" s="64"/>
      <c r="M11" s="64">
        <v>13</v>
      </c>
      <c r="N11" s="66">
        <v>185000</v>
      </c>
      <c r="O11" s="37"/>
      <c r="P11" s="41"/>
      <c r="Q11" s="42"/>
      <c r="R11" s="42"/>
    </row>
    <row r="12" spans="1:18" ht="12.75">
      <c r="A12" s="27" t="s">
        <v>23</v>
      </c>
      <c r="B12" s="26" t="s">
        <v>35</v>
      </c>
      <c r="C12" s="26" t="s">
        <v>17</v>
      </c>
      <c r="D12" s="64">
        <v>10</v>
      </c>
      <c r="E12" s="64">
        <v>12</v>
      </c>
      <c r="F12" s="64">
        <v>8</v>
      </c>
      <c r="G12" s="64">
        <f t="shared" si="0"/>
        <v>48000</v>
      </c>
      <c r="H12" s="64">
        <v>2</v>
      </c>
      <c r="I12" s="64">
        <f t="shared" si="1"/>
        <v>20000</v>
      </c>
      <c r="J12" s="64">
        <f>2*10000*7/12</f>
        <v>11666.666666666666</v>
      </c>
      <c r="K12" s="64"/>
      <c r="L12" s="64">
        <f>F12*6000+H12*10000+J12</f>
        <v>79666.66666666667</v>
      </c>
      <c r="M12" s="67">
        <v>8</v>
      </c>
      <c r="N12" s="66">
        <v>105000</v>
      </c>
      <c r="O12" s="37"/>
      <c r="P12" s="41"/>
      <c r="Q12" s="42"/>
      <c r="R12" s="42"/>
    </row>
    <row r="13" spans="1:18" ht="12.75">
      <c r="A13" s="27" t="s">
        <v>8</v>
      </c>
      <c r="B13" s="30" t="s">
        <v>37</v>
      </c>
      <c r="C13" s="26" t="s">
        <v>17</v>
      </c>
      <c r="D13" s="64">
        <v>10</v>
      </c>
      <c r="E13" s="64">
        <v>10</v>
      </c>
      <c r="F13" s="64">
        <v>6</v>
      </c>
      <c r="G13" s="64">
        <f t="shared" si="0"/>
        <v>36000</v>
      </c>
      <c r="H13" s="64">
        <v>4</v>
      </c>
      <c r="I13" s="64">
        <f t="shared" si="1"/>
        <v>40000</v>
      </c>
      <c r="J13" s="64"/>
      <c r="K13" s="64"/>
      <c r="L13" s="64">
        <f>F13*6000+H13*10000+J13</f>
        <v>76000</v>
      </c>
      <c r="M13" s="64">
        <v>6</v>
      </c>
      <c r="N13" s="66">
        <v>52200</v>
      </c>
      <c r="O13" s="37"/>
      <c r="P13" s="41"/>
      <c r="Q13" s="42"/>
      <c r="R13" s="42"/>
    </row>
    <row r="14" spans="1:18" ht="12.75">
      <c r="A14" s="25" t="s">
        <v>39</v>
      </c>
      <c r="B14" s="30" t="s">
        <v>37</v>
      </c>
      <c r="C14" s="30" t="s">
        <v>16</v>
      </c>
      <c r="D14" s="64">
        <v>8</v>
      </c>
      <c r="E14" s="64">
        <v>8</v>
      </c>
      <c r="F14" s="64">
        <v>8</v>
      </c>
      <c r="G14" s="64">
        <f t="shared" si="0"/>
        <v>48000</v>
      </c>
      <c r="H14" s="64"/>
      <c r="I14" s="64">
        <f t="shared" si="1"/>
        <v>0</v>
      </c>
      <c r="J14" s="64"/>
      <c r="K14" s="64">
        <f>G14+I14+J14</f>
        <v>48000</v>
      </c>
      <c r="L14" s="64"/>
      <c r="M14" s="64">
        <v>10</v>
      </c>
      <c r="N14" s="66">
        <v>107200</v>
      </c>
      <c r="O14" s="37"/>
      <c r="P14" s="41"/>
      <c r="Q14" s="42"/>
      <c r="R14" s="42"/>
    </row>
    <row r="15" spans="1:18" ht="12.75">
      <c r="A15" s="27" t="s">
        <v>6</v>
      </c>
      <c r="B15" s="26" t="s">
        <v>35</v>
      </c>
      <c r="C15" s="26" t="s">
        <v>17</v>
      </c>
      <c r="D15" s="64">
        <v>10</v>
      </c>
      <c r="E15" s="64">
        <v>10</v>
      </c>
      <c r="F15" s="64">
        <v>5</v>
      </c>
      <c r="G15" s="64">
        <f t="shared" si="0"/>
        <v>30000</v>
      </c>
      <c r="H15" s="64">
        <v>5</v>
      </c>
      <c r="I15" s="64">
        <f t="shared" si="1"/>
        <v>50000</v>
      </c>
      <c r="J15" s="64"/>
      <c r="K15" s="64"/>
      <c r="L15" s="64">
        <f>F15*6000+H15*10000+J15</f>
        <v>80000</v>
      </c>
      <c r="M15" s="64">
        <v>5</v>
      </c>
      <c r="N15" s="66">
        <v>47000</v>
      </c>
      <c r="O15" s="37"/>
      <c r="P15" s="41"/>
      <c r="Q15" s="42"/>
      <c r="R15" s="42"/>
    </row>
    <row r="16" spans="1:18" ht="12.75">
      <c r="A16" s="27" t="s">
        <v>24</v>
      </c>
      <c r="B16" s="26" t="s">
        <v>35</v>
      </c>
      <c r="C16" s="26" t="s">
        <v>17</v>
      </c>
      <c r="D16" s="64">
        <v>8</v>
      </c>
      <c r="E16" s="64">
        <v>10</v>
      </c>
      <c r="F16" s="64">
        <v>8</v>
      </c>
      <c r="G16" s="64">
        <f t="shared" si="0"/>
        <v>48000</v>
      </c>
      <c r="H16" s="64"/>
      <c r="I16" s="64">
        <f t="shared" si="1"/>
        <v>0</v>
      </c>
      <c r="J16" s="64">
        <f>2*10000*7/12</f>
        <v>11666.666666666666</v>
      </c>
      <c r="K16" s="64"/>
      <c r="L16" s="64">
        <f>F16*6000+H16*10000+J16</f>
        <v>59666.666666666664</v>
      </c>
      <c r="M16" s="64">
        <v>9</v>
      </c>
      <c r="N16" s="66">
        <v>108500</v>
      </c>
      <c r="O16" s="37"/>
      <c r="P16" s="41"/>
      <c r="Q16" s="42"/>
      <c r="R16" s="42"/>
    </row>
    <row r="17" spans="1:18" ht="13.5" thickBot="1">
      <c r="A17" s="55" t="s">
        <v>9</v>
      </c>
      <c r="B17" s="56" t="s">
        <v>37</v>
      </c>
      <c r="C17" s="57" t="s">
        <v>17</v>
      </c>
      <c r="D17" s="68">
        <v>16</v>
      </c>
      <c r="E17" s="68">
        <v>16</v>
      </c>
      <c r="F17" s="68">
        <v>11</v>
      </c>
      <c r="G17" s="68">
        <f t="shared" si="0"/>
        <v>66000</v>
      </c>
      <c r="H17" s="68">
        <v>5</v>
      </c>
      <c r="I17" s="68">
        <f t="shared" si="1"/>
        <v>50000</v>
      </c>
      <c r="J17" s="68"/>
      <c r="K17" s="68"/>
      <c r="L17" s="68">
        <f>F17*6000+H17*10000+J17</f>
        <v>116000</v>
      </c>
      <c r="M17" s="68">
        <v>12</v>
      </c>
      <c r="N17" s="69">
        <v>130000</v>
      </c>
      <c r="O17" s="37"/>
      <c r="P17" s="41"/>
      <c r="Q17" s="42"/>
      <c r="R17" s="42"/>
    </row>
  </sheetData>
  <sheetProtection selectLockedCells="1" selectUnlockedCells="1"/>
  <printOptions/>
  <pageMargins left="0.32" right="0.25" top="1" bottom="1" header="0.5" footer="0.5"/>
  <pageSetup fitToHeight="1" fitToWidth="1" horizontalDpi="600" verticalDpi="600" orientation="landscape" paperSize="9" scale="72" r:id="rId2"/>
  <ignoredErrors>
    <ignoredError sqref="G7:J7 G17:J17 G16:J16 G15:J15 G13:J13 G5:J5 G6:J6 G12:J12 G8:J11 G14:J14 L14 L8:L11 K12 L6 L5 K13 K15 K16 K17 K7 K6 K8:K11 L7 L17 L16 L15 K14 L13 K5 L12" unlockedFormula="1"/>
  </ignoredErrors>
  <drawing r:id="rId1"/>
</worksheet>
</file>

<file path=xl/worksheets/sheet6.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
    </sheetView>
  </sheetViews>
  <sheetFormatPr defaultColWidth="9.140625" defaultRowHeight="12.75"/>
  <cols>
    <col min="1" max="3" width="16.7109375" style="39" customWidth="1"/>
  </cols>
  <sheetData>
    <row r="1" ht="15.75">
      <c r="A1" s="84" t="s">
        <v>63</v>
      </c>
    </row>
    <row r="2" ht="13.5" thickBot="1"/>
    <row r="3" spans="1:3" s="1" customFormat="1" ht="26.25" thickBot="1">
      <c r="A3" s="80" t="s">
        <v>34</v>
      </c>
      <c r="B3" s="81" t="s">
        <v>72</v>
      </c>
      <c r="C3" s="82" t="s">
        <v>71</v>
      </c>
    </row>
    <row r="4" spans="1:3" ht="12.75">
      <c r="A4" s="77">
        <v>1</v>
      </c>
      <c r="B4" s="78">
        <v>2200</v>
      </c>
      <c r="C4" s="79">
        <f>B4</f>
        <v>2200</v>
      </c>
    </row>
    <row r="5" spans="1:3" ht="12.75">
      <c r="A5" s="72">
        <v>2</v>
      </c>
      <c r="B5" s="71">
        <v>3700</v>
      </c>
      <c r="C5" s="73">
        <f aca="true" t="shared" si="0" ref="C5:C12">B5</f>
        <v>3700</v>
      </c>
    </row>
    <row r="6" spans="1:3" ht="12.75">
      <c r="A6" s="72">
        <v>3</v>
      </c>
      <c r="B6" s="71">
        <v>6100</v>
      </c>
      <c r="C6" s="73">
        <f t="shared" si="0"/>
        <v>6100</v>
      </c>
    </row>
    <row r="7" spans="1:3" ht="12.75">
      <c r="A7" s="72">
        <v>4</v>
      </c>
      <c r="B7" s="71">
        <v>8500</v>
      </c>
      <c r="C7" s="73">
        <f t="shared" si="0"/>
        <v>8500</v>
      </c>
    </row>
    <row r="8" spans="1:4" ht="12.75">
      <c r="A8" s="72">
        <v>5</v>
      </c>
      <c r="B8" s="71">
        <v>10000</v>
      </c>
      <c r="C8" s="73">
        <f t="shared" si="0"/>
        <v>10000</v>
      </c>
      <c r="D8" s="40"/>
    </row>
    <row r="9" spans="1:4" ht="12.75">
      <c r="A9" s="72">
        <v>6</v>
      </c>
      <c r="B9" s="71">
        <v>15000</v>
      </c>
      <c r="C9" s="73">
        <f t="shared" si="0"/>
        <v>15000</v>
      </c>
      <c r="D9" s="40"/>
    </row>
    <row r="10" spans="1:4" ht="12.75">
      <c r="A10" s="72">
        <v>7</v>
      </c>
      <c r="B10" s="71">
        <v>20000</v>
      </c>
      <c r="C10" s="73">
        <f t="shared" si="0"/>
        <v>20000</v>
      </c>
      <c r="D10" s="40"/>
    </row>
    <row r="11" spans="1:4" ht="12.75">
      <c r="A11" s="72">
        <v>8</v>
      </c>
      <c r="B11" s="71">
        <v>25000</v>
      </c>
      <c r="C11" s="73">
        <f t="shared" si="0"/>
        <v>25000</v>
      </c>
      <c r="D11" s="40"/>
    </row>
    <row r="12" spans="1:4" ht="13.5" thickBot="1">
      <c r="A12" s="74">
        <v>9</v>
      </c>
      <c r="B12" s="75">
        <v>30000</v>
      </c>
      <c r="C12" s="76">
        <f t="shared" si="0"/>
        <v>30000</v>
      </c>
      <c r="D12" s="4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Malewicz</dc:creator>
  <cp:keywords/>
  <dc:description/>
  <cp:lastModifiedBy>Chloe-Mai Parfitt</cp:lastModifiedBy>
  <cp:lastPrinted>2019-02-27T14:57:41Z</cp:lastPrinted>
  <dcterms:created xsi:type="dcterms:W3CDTF">2013-03-08T11:33:00Z</dcterms:created>
  <dcterms:modified xsi:type="dcterms:W3CDTF">2019-07-30T08:58:55Z</dcterms:modified>
  <cp:category/>
  <cp:version/>
  <cp:contentType/>
  <cp:contentStatus/>
</cp:coreProperties>
</file>