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workbookProtection lockStructure="1"/>
  <bookViews>
    <workbookView xWindow="65431" yWindow="5805" windowWidth="28845" windowHeight="6945" tabRatio="599" activeTab="1"/>
  </bookViews>
  <sheets>
    <sheet name="Notes" sheetId="1" r:id="rId1"/>
    <sheet name="Indv Schools" sheetId="2" r:id="rId2"/>
    <sheet name="All Schools" sheetId="3" state="hidden" r:id="rId3"/>
    <sheet name="Top Up SEN" sheetId="4" state="hidden" r:id="rId4"/>
    <sheet name="McMillan " sheetId="5" state="hidden" r:id="rId5"/>
    <sheet name="2% threshold" sheetId="6" state="hidden" r:id="rId6"/>
    <sheet name="EYSFF Universal Hrs" sheetId="7" state="hidden" r:id="rId7"/>
    <sheet name="EYSFF Extended Hrs" sheetId="8" state="hidden" r:id="rId8"/>
    <sheet name="Sheet1" sheetId="9" state="hidden" r:id="rId9"/>
  </sheets>
  <externalReferences>
    <externalReference r:id="rId12"/>
    <externalReference r:id="rId13"/>
    <externalReference r:id="rId14"/>
    <externalReference r:id="rId15"/>
    <externalReference r:id="rId16"/>
  </externalReferences>
  <definedNames>
    <definedName name="_xlnm._FilterDatabase" localSheetId="2" hidden="1">'All Schools'!$A$4:$CK$95</definedName>
    <definedName name="_xlnm._FilterDatabase" localSheetId="7" hidden="1">'EYSFF Extended Hrs'!$B$3:$K$112</definedName>
    <definedName name="_xlfn.IFERROR" hidden="1">#NAME?</definedName>
    <definedName name="Anchor_Factors" localSheetId="5">'[1]Factors'!$A$3</definedName>
    <definedName name="Anchor_Factors">'[2]Factors'!$A$3</definedName>
    <definedName name="Anchor_NDShare" localSheetId="5">'[1]New Delegation Control'!$A$52</definedName>
    <definedName name="Anchor_NDShare">'[2]New Delegation Control'!$A$52</definedName>
    <definedName name="Col_Ref_Factors" localSheetId="5">'[1]Factors'!$A$2:$AW$2</definedName>
    <definedName name="Col_Ref_Factors">'[2]Factors'!$A$2:$AW$2</definedName>
    <definedName name="Col_Ref_NDShare" localSheetId="5">'[1]New Delegation Control'!$A$51:$AQ$51</definedName>
    <definedName name="Col_Ref_NDShare">'[2]New Delegation Control'!$A$51:$AQ$51</definedName>
    <definedName name="IDACI_B1_Pri">'All Schools'!$E$17</definedName>
    <definedName name="IDACI_B2_Pri">'All Schools'!$E$18</definedName>
    <definedName name="IDACI_B3_Pri">'All Schools'!$E$19</definedName>
    <definedName name="IDACI_B4_Pri">'All Schools'!$E$20</definedName>
    <definedName name="IDACI_B5_Pri">'All Schools'!$E$21</definedName>
    <definedName name="_xlnm.Print_Area" localSheetId="2">'All Schools'!$A$1:$BW$97</definedName>
    <definedName name="_xlnm.Print_Area" localSheetId="1">'Indv Schools'!$A$1:$G$74</definedName>
    <definedName name="_xlnm.Print_Area" localSheetId="0">'Notes'!$B$1:$C$23</definedName>
    <definedName name="_xlnm.Print_Titles" localSheetId="2">'All Schools'!$A:$B</definedName>
    <definedName name="Reception_Uplift_YesNo">'[3]Proforma'!$E$9</definedName>
    <definedName name="School_URN_Factors" localSheetId="5">'[1]Factors'!$A$3:$A$82</definedName>
    <definedName name="School_URN_Factors">'[2]Factors'!$A$3:$A$82</definedName>
    <definedName name="School_URN_NDShare" localSheetId="5">'[1]New Delegation Control'!$A$52:$A$131</definedName>
    <definedName name="School_URN_NDShare">'[2]New Delegation Control'!$A$52:$A$131</definedName>
  </definedNames>
  <calcPr fullCalcOnLoad="1"/>
</workbook>
</file>

<file path=xl/comments3.xml><?xml version="1.0" encoding="utf-8"?>
<comments xmlns="http://schemas.openxmlformats.org/spreadsheetml/2006/main">
  <authors>
    <author>Steve Denbeigh</author>
  </authors>
  <commentList>
    <comment ref="BN80" authorId="0">
      <text>
        <r>
          <rPr>
            <b/>
            <sz val="9"/>
            <rFont val="Tahoma"/>
            <family val="2"/>
          </rPr>
          <t>Steve Denbeigh:</t>
        </r>
        <r>
          <rPr>
            <sz val="9"/>
            <rFont val="Tahoma"/>
            <family val="2"/>
          </rPr>
          <t xml:space="preserve">
Stockley Academy figure
</t>
        </r>
      </text>
    </comment>
  </commentList>
</comments>
</file>

<file path=xl/sharedStrings.xml><?xml version="1.0" encoding="utf-8"?>
<sst xmlns="http://schemas.openxmlformats.org/spreadsheetml/2006/main" count="1378" uniqueCount="630">
  <si>
    <t>Post de-delegation budget</t>
  </si>
  <si>
    <t>School Name</t>
  </si>
  <si>
    <t>NOR</t>
  </si>
  <si>
    <t>NOR_Primary</t>
  </si>
  <si>
    <t>NOR_Secondary</t>
  </si>
  <si>
    <t>NOR_KS3</t>
  </si>
  <si>
    <t>NOR_KS4</t>
  </si>
  <si>
    <t>Bourne Primary School</t>
  </si>
  <si>
    <t>Colham Manor Primary School</t>
  </si>
  <si>
    <t>Coteford Junior School</t>
  </si>
  <si>
    <t>Coteford Infant School</t>
  </si>
  <si>
    <t>Deanesfield Primary School</t>
  </si>
  <si>
    <t>Field End Junior School</t>
  </si>
  <si>
    <t>Glebe Primary School</t>
  </si>
  <si>
    <t>Harefield Junior School</t>
  </si>
  <si>
    <t>Lady Bankes Infant School</t>
  </si>
  <si>
    <t>Laurel Lane Primary School</t>
  </si>
  <si>
    <t>Newnham Junior School</t>
  </si>
  <si>
    <t>Newnham Infant School</t>
  </si>
  <si>
    <t>Ryefield Primary School</t>
  </si>
  <si>
    <t>Whitehall Junior School</t>
  </si>
  <si>
    <t>Whiteheath Junior School</t>
  </si>
  <si>
    <t>Yeading Junior School</t>
  </si>
  <si>
    <t>Hermitage Primary School</t>
  </si>
  <si>
    <t>Rabbsfarm Primary School</t>
  </si>
  <si>
    <t>Whitehall Infant School</t>
  </si>
  <si>
    <t>Frithwood Primary School</t>
  </si>
  <si>
    <t>Ruislip Gardens Primary School</t>
  </si>
  <si>
    <t>Hillingdon Primary School</t>
  </si>
  <si>
    <t>Cherry Lane Primary</t>
  </si>
  <si>
    <t>Holy Trinity C. of E. Primary</t>
  </si>
  <si>
    <t>Dr. Triplett's C.E. Primary</t>
  </si>
  <si>
    <t>Botwell House Catholic Primary School</t>
  </si>
  <si>
    <t>St Bernadette Catholic Primary School</t>
  </si>
  <si>
    <t>St.Catherine Catholic Primary School</t>
  </si>
  <si>
    <t>St Mary's Catholic Primary School</t>
  </si>
  <si>
    <t>Sacred Heart Catholic Primary School</t>
  </si>
  <si>
    <t>Oak Farm Infant School</t>
  </si>
  <si>
    <t>Oak Farm Junior School</t>
  </si>
  <si>
    <t>Grange Park Junior School</t>
  </si>
  <si>
    <t>Hillside Infant School</t>
  </si>
  <si>
    <t>Hillside Junior School</t>
  </si>
  <si>
    <t>Charville Primary School</t>
  </si>
  <si>
    <t>Hayes Park</t>
  </si>
  <si>
    <t>Wood End Park Community</t>
  </si>
  <si>
    <t>Ruislip High School</t>
  </si>
  <si>
    <t>Bishop Ramsey CE School</t>
  </si>
  <si>
    <t>Guru Nanak Sikh Academy</t>
  </si>
  <si>
    <t>Queensmead School</t>
  </si>
  <si>
    <t>Uxbridge High School</t>
  </si>
  <si>
    <t>Rosedale College</t>
  </si>
  <si>
    <t>Hewens College</t>
  </si>
  <si>
    <t>The Douay Martyrs School</t>
  </si>
  <si>
    <t>Barnhill Community High</t>
  </si>
  <si>
    <t>Low Attainment (P)</t>
  </si>
  <si>
    <t>Low Attainment (S)</t>
  </si>
  <si>
    <t>EAL (P)</t>
  </si>
  <si>
    <t>EAL (S)</t>
  </si>
  <si>
    <t>Mobility (P)</t>
  </si>
  <si>
    <t>Mobility (S)</t>
  </si>
  <si>
    <t>Lump Sum</t>
  </si>
  <si>
    <t>Split Sites</t>
  </si>
  <si>
    <t>Rates</t>
  </si>
  <si>
    <t>PFI</t>
  </si>
  <si>
    <t>AWPU Total</t>
  </si>
  <si>
    <t>AEN Total</t>
  </si>
  <si>
    <t>Total Allocation</t>
  </si>
  <si>
    <t>Pri Funding</t>
  </si>
  <si>
    <t>Sec Funding</t>
  </si>
  <si>
    <t>MFG % change</t>
  </si>
  <si>
    <t>MFG Value adjustment</t>
  </si>
  <si>
    <t>Post MFG Budget</t>
  </si>
  <si>
    <t>Dedelegation</t>
  </si>
  <si>
    <t>Units</t>
  </si>
  <si>
    <t>DfE</t>
  </si>
  <si>
    <t>AWPU Primary</t>
  </si>
  <si>
    <t>AWPU KS3</t>
  </si>
  <si>
    <t>AWPU KS4</t>
  </si>
  <si>
    <t>Unit Value</t>
  </si>
  <si>
    <t>Total value</t>
  </si>
  <si>
    <t>EAL Primary</t>
  </si>
  <si>
    <t>EAL Secondary</t>
  </si>
  <si>
    <t>Mobility Primary</t>
  </si>
  <si>
    <t>Mobility Secondary</t>
  </si>
  <si>
    <t>Split Site</t>
  </si>
  <si>
    <t>School Factors Total</t>
  </si>
  <si>
    <t>Select School</t>
  </si>
  <si>
    <t>Harefield Infant School</t>
  </si>
  <si>
    <t>Harlyn Primary School</t>
  </si>
  <si>
    <t>Harmondsworth Primary School</t>
  </si>
  <si>
    <t>Heathrow Primary School</t>
  </si>
  <si>
    <t>Lady Bankes Junior School</t>
  </si>
  <si>
    <t>Minet Junior School</t>
  </si>
  <si>
    <t>Minet Infant School</t>
  </si>
  <si>
    <t>Yeading Infant School</t>
  </si>
  <si>
    <t>Highfield Primary School</t>
  </si>
  <si>
    <t>Warrender Primary School</t>
  </si>
  <si>
    <t>Pinkwell Primary School</t>
  </si>
  <si>
    <t>BWI CE Primary School</t>
  </si>
  <si>
    <t>St Andrews CE Primary School</t>
  </si>
  <si>
    <t>Haydon School</t>
  </si>
  <si>
    <t>Vyners School</t>
  </si>
  <si>
    <t>Northwood School</t>
  </si>
  <si>
    <t>select school</t>
  </si>
  <si>
    <t>DfE no.</t>
  </si>
  <si>
    <t>Low Att Pri</t>
  </si>
  <si>
    <t>Mobility Pri</t>
  </si>
  <si>
    <t>Mobility Sec</t>
  </si>
  <si>
    <t>Total</t>
  </si>
  <si>
    <t>Low Att Sec</t>
  </si>
  <si>
    <t>MFG Budget</t>
  </si>
  <si>
    <t>MFG % Change</t>
  </si>
  <si>
    <t>MFG Adjustment %</t>
  </si>
  <si>
    <t>School factors total</t>
  </si>
  <si>
    <t xml:space="preserve">MFG Adjustment </t>
  </si>
  <si>
    <t>Notes</t>
  </si>
  <si>
    <t>Provider</t>
  </si>
  <si>
    <t>IDACI</t>
  </si>
  <si>
    <t>£</t>
  </si>
  <si>
    <t>Funding</t>
  </si>
  <si>
    <t>Hourly Rate</t>
  </si>
  <si>
    <t>Allocation</t>
  </si>
  <si>
    <t>(£ / hour)</t>
  </si>
  <si>
    <t>Maintained Nursery School lump sum</t>
  </si>
  <si>
    <t>Total Hourly Rate</t>
  </si>
  <si>
    <t>Total EYSFF Funding</t>
  </si>
  <si>
    <t>Base</t>
  </si>
  <si>
    <t>The Breakspear School</t>
  </si>
  <si>
    <t>Cowley St. Laurence CE Primary</t>
  </si>
  <si>
    <t>St Matthews Primary School</t>
  </si>
  <si>
    <t>Harlington School</t>
  </si>
  <si>
    <t>Notional SEN allocation</t>
  </si>
  <si>
    <t>Final DSG Schools Block Budget</t>
  </si>
  <si>
    <t>Grange Park Infant School</t>
  </si>
  <si>
    <t>The Harefield Academy</t>
  </si>
  <si>
    <t>PVI</t>
  </si>
  <si>
    <t>John Locke Academy</t>
  </si>
  <si>
    <t>Lake Farm Park Academy</t>
  </si>
  <si>
    <t>Nanaksar Primary School</t>
  </si>
  <si>
    <t>Parkside Studio College</t>
  </si>
  <si>
    <t>Rosedale Primary School</t>
  </si>
  <si>
    <t>Notes to the funding allocations</t>
  </si>
  <si>
    <t>DSG Schools Block</t>
  </si>
  <si>
    <t>Heathrow Aviation Engineering UTC</t>
  </si>
  <si>
    <t>Bishopshalt School</t>
  </si>
  <si>
    <t>Brookside Primary School</t>
  </si>
  <si>
    <t>Hewens Primary School</t>
  </si>
  <si>
    <t>St Martins CE Primary</t>
  </si>
  <si>
    <t>De Salis Studio College</t>
  </si>
  <si>
    <t>Deprivation (FSM Ever 6) Primary</t>
  </si>
  <si>
    <t>Growth Contingency</t>
  </si>
  <si>
    <t>Top up (Low incidence statements)</t>
  </si>
  <si>
    <t>Belmore Nursery and Primary School</t>
  </si>
  <si>
    <t>St Swithun Wells Catholic Primary School</t>
  </si>
  <si>
    <t>Field End Infant School</t>
  </si>
  <si>
    <t>School</t>
  </si>
  <si>
    <t xml:space="preserve">Other DSG funding </t>
  </si>
  <si>
    <t>Other DSG Funding</t>
  </si>
  <si>
    <t>Total Funding available</t>
  </si>
  <si>
    <t>Base rate funding</t>
  </si>
  <si>
    <t>Deprivation supplement</t>
  </si>
  <si>
    <t>Additional needs supplement</t>
  </si>
  <si>
    <t>Percentage of funding</t>
  </si>
  <si>
    <t>Rate per hour</t>
  </si>
  <si>
    <t>Type</t>
  </si>
  <si>
    <t>Summer Hours</t>
  </si>
  <si>
    <t>Autumn Hours</t>
  </si>
  <si>
    <t>Spring Hours</t>
  </si>
  <si>
    <t>Total Hours</t>
  </si>
  <si>
    <t>IDACI score</t>
  </si>
  <si>
    <t>IDACI weighting</t>
  </si>
  <si>
    <t>Above 0.25 threshold?</t>
  </si>
  <si>
    <t>Mcmillan Nursery</t>
  </si>
  <si>
    <t>Check total</t>
  </si>
  <si>
    <t>Deprivation - Primary FSM6</t>
  </si>
  <si>
    <t>Deprivation - Secondary FSM 6</t>
  </si>
  <si>
    <t>Deprivation - Primary IDACI Band F</t>
  </si>
  <si>
    <t>Deprivation - Primary IDACI Band E</t>
  </si>
  <si>
    <t>Deprivation - Primary IDACI Band D</t>
  </si>
  <si>
    <t>Deprivation - Primary IDACI Band C</t>
  </si>
  <si>
    <t>Deprivation - Primary IDACI Band A</t>
  </si>
  <si>
    <t>Deprivation - Primary IDACI Band B</t>
  </si>
  <si>
    <t>Deprivation - Secondary IDACI Band F</t>
  </si>
  <si>
    <t>Deprivation - Secondary IDACI Band E</t>
  </si>
  <si>
    <t>Deprivation - Secondary IDACI Band D</t>
  </si>
  <si>
    <t>Deprivation - Secondary IDACI Band C</t>
  </si>
  <si>
    <t>Deprivation - Secondary IDACI Band A</t>
  </si>
  <si>
    <t>Deprivation - Secondary IDACI Band B</t>
  </si>
  <si>
    <t>MFG Unit Value 17/18</t>
  </si>
  <si>
    <t>Deprivation (FSM Ever 6) Secondary</t>
  </si>
  <si>
    <t>Deprivation (IDACI) Band F Primary</t>
  </si>
  <si>
    <t>Deprivation (IDACI) Band E Primary</t>
  </si>
  <si>
    <t>Deprivation (IDACI) Band D Primary</t>
  </si>
  <si>
    <t>Deprivation (IDACI) Band C Primary</t>
  </si>
  <si>
    <t>Deprivation (IDACI) Band B Primary</t>
  </si>
  <si>
    <t>Deprivation (IDACI) Band A Primary</t>
  </si>
  <si>
    <t>Deprivation (IDACI) Band F Secondary</t>
  </si>
  <si>
    <t>Deprivation (IDACI) Band E Secondary</t>
  </si>
  <si>
    <t>Deprivation (IDACI) Band D Secondary</t>
  </si>
  <si>
    <t>Deprivation (IDACI) Band C Secondary</t>
  </si>
  <si>
    <t>Deprivation (IDACI) Band B Secondary</t>
  </si>
  <si>
    <t>Deprivation (IDACI) Band A Secondary</t>
  </si>
  <si>
    <t>Deprivation - Primary FSM 6</t>
  </si>
  <si>
    <t>Education functions</t>
  </si>
  <si>
    <t>17-18 MFG Unit Value</t>
  </si>
  <si>
    <t>The Global Academy</t>
  </si>
  <si>
    <t>Swakeleys School for Girls incorporating 6th Form @ Swakeleys</t>
  </si>
  <si>
    <t xml:space="preserve">Cranford Park Primary </t>
  </si>
  <si>
    <r>
      <t>English as an Additional Language</t>
    </r>
    <r>
      <rPr>
        <sz val="10"/>
        <rFont val="Arial"/>
        <family val="2"/>
      </rPr>
      <t xml:space="preserve"> - The agreed factor that has been used is EAL3, where the number of eligible pupils is determined based on children deemed EAL on the census that have been in the school system for less than 3 years.                     </t>
    </r>
  </si>
  <si>
    <t>Education Functions</t>
  </si>
  <si>
    <t>Additional Needs</t>
  </si>
  <si>
    <t>Whiteheath Infant School</t>
  </si>
  <si>
    <t>William Byrd Primary Academy</t>
  </si>
  <si>
    <t>West Drayton Academy</t>
  </si>
  <si>
    <t>Park Academy West London</t>
  </si>
  <si>
    <t>SCHOOLS BLOCK FORMULA 2018-2019</t>
  </si>
  <si>
    <t>2018-19 rates</t>
  </si>
  <si>
    <t>17-18 rates adjustment</t>
  </si>
  <si>
    <t>Adjustment to 17-18 budget share</t>
  </si>
  <si>
    <t>18-19 MFG Budget</t>
  </si>
  <si>
    <t>18-19 MFG Unit Value</t>
  </si>
  <si>
    <t>18-19 MFG Adjustment</t>
  </si>
  <si>
    <t>Growth Contingency Academies April-Aug 18</t>
  </si>
  <si>
    <t>MCMILLAN NURSERY EYSFF  BUDGET 2018-19</t>
  </si>
  <si>
    <t>notes updated but need checking</t>
  </si>
  <si>
    <t>Copy and pasted data from apt</t>
  </si>
  <si>
    <t>Copies awpu, idaci, attain, mob rates across</t>
  </si>
  <si>
    <t>West london academy renamed - West Drayton and William Byrd moved</t>
  </si>
  <si>
    <t xml:space="preserve">Deprivation rate changed </t>
  </si>
  <si>
    <t>MFG values copied</t>
  </si>
  <si>
    <t>Adjustment to 17-18 rates</t>
  </si>
  <si>
    <t>Adjustments to 17-18 budget shares</t>
  </si>
  <si>
    <t>MFG Unit Value 18/19</t>
  </si>
  <si>
    <t>EYSFF three terms hours values pasted</t>
  </si>
  <si>
    <t>Grand Total</t>
  </si>
  <si>
    <t>SEN TOP UP Funding</t>
  </si>
  <si>
    <t>Oak Wood School</t>
  </si>
  <si>
    <t>idaci avg copied</t>
  </si>
  <si>
    <t>name changes</t>
  </si>
  <si>
    <t>eal formula</t>
  </si>
  <si>
    <t>Prior Attainment Primary</t>
  </si>
  <si>
    <t>Prior Attainment Secondary</t>
  </si>
  <si>
    <r>
      <t xml:space="preserve">Mobility - </t>
    </r>
    <r>
      <rPr>
        <sz val="10"/>
        <rFont val="Arial"/>
        <family val="2"/>
      </rPr>
      <t>This factor is based on those pupils whose start date at the school is not September, and entered the school in the last three academic years (excluding nursery entrants). A threshold of 10% is applied, so only schools with over 10% of pupils meeting the criteria will attract funding under this factor.</t>
    </r>
  </si>
  <si>
    <r>
      <t xml:space="preserve">Education Functions - </t>
    </r>
    <r>
      <rPr>
        <sz val="10"/>
        <rFont val="Arial"/>
        <family val="2"/>
      </rPr>
      <t>This is only applicable to council maintained schools (i.e. not academies or free schools). Schools Forum agreed to the de-delegation of funding for the Teachers Pensions Support &amp; Administration.</t>
    </r>
  </si>
  <si>
    <t>Hillingdons formula was submitted to the Education &amp; Skills Funding Agency (ESFA) on the 19th January for approval.  Unless changes are requested by the ESFA, these figures will be final.</t>
  </si>
  <si>
    <r>
      <t>Unit Data</t>
    </r>
    <r>
      <rPr>
        <sz val="10"/>
        <color indexed="8"/>
        <rFont val="Arial"/>
        <family val="2"/>
      </rPr>
      <t xml:space="preserve"> - The unit data used comes directly from the DfE, which is in the format as a percentage of the number on roll. All authorities have been instructed to use this data, which is driven in the main by the October 2017 pupil census data. This data is only amendable where it is not representative. As percentages of numbers on roll have been used, the pupil numbers will not be absolute.
The unit values for Additional Educational Need (AEN) have been fixed at the 2017-18 rates for EAL, Prior Attainment and Mobility. The deprivation factor rates have increased as total deprivation funding is set as a percentage of the total funding which has increased compared with 2017-18.
In order to manage the distribution of resources, the AWPU has been used to balance the total Individual Schools Budget shares to maintain the fixed rates for AEN funding.</t>
    </r>
  </si>
  <si>
    <r>
      <t>Pupil Data</t>
    </r>
    <r>
      <rPr>
        <sz val="10"/>
        <rFont val="Arial"/>
        <family val="2"/>
      </rPr>
      <t xml:space="preserve"> - The Pupil Data is based on the October 2017 pupil census as provided by the DfE. The NOR used does not include pupils on the census marked as 'S' (subsidiary registration for dual roled pupils)                                                                                                                                                                                                                                                   
If a school has opened in the last 7 years and is still admitting to all its year groups, we are required by regulations to estimate pupil numbers. Therefore the NOR for these schools will not match the value on the October 2017 census. For these schools, the figures shown are calculated based on the LA's financial year and as such include an element of part year effect for growth for our modelling purposes only, and also to enable the ESFA to recoup funding for them.              </t>
    </r>
  </si>
  <si>
    <r>
      <t>Prior Attainment Primary</t>
    </r>
    <r>
      <rPr>
        <sz val="10"/>
        <rFont val="Arial"/>
        <family val="2"/>
      </rPr>
      <t xml:space="preserve"> - This has to be calculated on the Early Years Foundation Stage Profile (EYSFP). For 2018-19 the number of eligible pupils for this factor is based on Yr 1-5 pupils who do not achieve a good level of development under the new EYSFP standards, and Yr 6 pupils who achieve fewer than 73 points under the old EYSFP standards. </t>
    </r>
  </si>
  <si>
    <r>
      <t>Prior Attainment Secondary</t>
    </r>
    <r>
      <rPr>
        <sz val="10"/>
        <rFont val="Arial"/>
        <family val="2"/>
      </rPr>
      <t xml:space="preserve"> - This is now calculated using the new KS2 tests for Yr 7 &amp; 8 pupils, and the previous testing regime for Yr 9-11 pupils. Yr 7 &amp; 8 pupils are counted if they do not acheive the expected standard of achievement in either English reading, English teacher assessed writing or Mathematics. For Yr 9-11 pupils, they are counted if they do not achieve a Level 4 at KS2 in English or Maths.</t>
    </r>
  </si>
  <si>
    <r>
      <t>Rates</t>
    </r>
    <r>
      <rPr>
        <sz val="10"/>
        <rFont val="Arial"/>
        <family val="2"/>
      </rPr>
      <t xml:space="preserve"> - This is made up two elements; an amount for estimated 2018-19 rates bills, and an adjustment for actual 2017-18 bills where we were able to obtain information. The figures for 2018-19 are estimates only, as final bills are not issued until March. The adjustment takes into account differences between last years estimate and now known figures. Any difference between 2018-19 estimates and actuals will be adjusted in the 2019-20 budget.  Academies do not receive funding in the GAG for rates, and claim in year for their bills, so the figures shown are purely for LA modelling purposes.</t>
    </r>
  </si>
  <si>
    <r>
      <t>Minimum Funding Guarantee Budget</t>
    </r>
    <r>
      <rPr>
        <sz val="10"/>
        <rFont val="Arial"/>
        <family val="2"/>
      </rPr>
      <t xml:space="preserve"> - This is determined by deducting the lump sum and the rates figures from the
2018-19 school budget share.  This figure is then divided by the pupil numbers on roll to arrive at the per pupil funding for
2018-19. This is then compared to a similarly calculated per pupil funding for 2017-18.</t>
    </r>
  </si>
  <si>
    <r>
      <t>Minimum Funding Guarantee Adjustment</t>
    </r>
    <r>
      <rPr>
        <sz val="10"/>
        <rFont val="Arial"/>
        <family val="2"/>
      </rPr>
      <t xml:space="preserve"> - The MFG is set at minus 1.5%. Effectively this means that schools can lose up to 1.5% of their 2018-19 budget when compared to the 2017-18 MFG Budget per pupil. The MFG percentage change indicates the impact on a schools budget, and the MFG Adjustment percentage reflects the difference between this and the assumption that schools can lose 1.5%. Where the adjustment percentage figure is positive, the school will receive a MFG budget allocation, which is reflected in the MFG Adjustment row. Please note the total percentage difference year on year may be greater than -1.5% as the MFG protects the per pupil amount, not pupil number variations, nor changes to rates.</t>
    </r>
  </si>
  <si>
    <t>DfE No.</t>
  </si>
  <si>
    <t>Pupils April-August</t>
  </si>
  <si>
    <t>Pupils Sept-March</t>
  </si>
  <si>
    <t>Estimated funding due</t>
  </si>
  <si>
    <t>Pinkwell Primary</t>
  </si>
  <si>
    <r>
      <t xml:space="preserve">Deprivation - </t>
    </r>
    <r>
      <rPr>
        <sz val="10"/>
        <rFont val="Arial"/>
        <family val="2"/>
      </rPr>
      <t xml:space="preserve">The allocation of this factor uses FSM6 and IDACI data. The total funding distributed through the factor is </t>
    </r>
    <r>
      <rPr>
        <sz val="10"/>
        <color indexed="8"/>
        <rFont val="Arial"/>
        <family val="2"/>
      </rPr>
      <t>7.87%, w</t>
    </r>
    <r>
      <rPr>
        <sz val="10"/>
        <rFont val="Arial"/>
        <family val="2"/>
      </rPr>
      <t xml:space="preserve">hich is broadly in line with the national average of other local authorities funding formulas.                                                                                                                                                                                             </t>
    </r>
    <r>
      <rPr>
        <u val="single"/>
        <sz val="10"/>
        <rFont val="Arial"/>
        <family val="2"/>
      </rPr>
      <t>FSM6</t>
    </r>
    <r>
      <rPr>
        <sz val="10"/>
        <rFont val="Arial"/>
        <family val="2"/>
      </rPr>
      <t xml:space="preserve"> - This is used to all</t>
    </r>
    <r>
      <rPr>
        <sz val="10"/>
        <color indexed="8"/>
        <rFont val="Arial"/>
        <family val="2"/>
      </rPr>
      <t xml:space="preserve">ocate 75% </t>
    </r>
    <r>
      <rPr>
        <sz val="10"/>
        <rFont val="Arial"/>
        <family val="2"/>
      </rPr>
      <t xml:space="preserve">of the total deprivation funding. The data set used is the same as the Pupil Premium allocation data for 2017-18, and applied as a percentage to the October 2017 NOR                                                                                                                                                       </t>
    </r>
    <r>
      <rPr>
        <u val="single"/>
        <sz val="10"/>
        <rFont val="Arial"/>
        <family val="2"/>
      </rPr>
      <t>IDACI</t>
    </r>
    <r>
      <rPr>
        <sz val="10"/>
        <rFont val="Arial"/>
        <family val="2"/>
      </rPr>
      <t xml:space="preserve"> (Income and Deprivation Affecting Children Index) -  This is used to allocate</t>
    </r>
    <r>
      <rPr>
        <sz val="10"/>
        <color indexed="8"/>
        <rFont val="Arial"/>
        <family val="2"/>
      </rPr>
      <t xml:space="preserve"> 25%</t>
    </r>
    <r>
      <rPr>
        <sz val="10"/>
        <rFont val="Arial"/>
        <family val="2"/>
      </rPr>
      <t xml:space="preserve"> of the total deprivation funding. IDACI takes into account the home postcode of the child. Each postcode of the child on the October 2017 is assigned a scoring using this index, with 1 being the most deprived and 0 the least. Any child with a scoring over 0.2 will attract funding under this factor, with funding determined by the pre-determined band a child falls into.
The AWPU rates have slightly increased when compared to the indicative budgets following a slight increase in the amount of Schools Block funding available to be distributed.
</t>
    </r>
  </si>
  <si>
    <r>
      <t>AWPU</t>
    </r>
    <r>
      <rPr>
        <sz val="10"/>
        <rFont val="Arial"/>
        <family val="2"/>
      </rPr>
      <t xml:space="preserve"> - There are only three allowable rates, Primary, KS3 and KS4. There is an increase from last year on these unit rates due to the increase in Schools Block funding.
The AWPU rates have slightly increased when compared to the indicative budgets following a slight increase in the amount of Schools Block funding available to be distributed.</t>
    </r>
  </si>
  <si>
    <t>To update</t>
  </si>
  <si>
    <t>Budget Hours</t>
  </si>
  <si>
    <t>Base rate per hour</t>
  </si>
  <si>
    <t>IDACI funding</t>
  </si>
  <si>
    <t>Deprivation per hour</t>
  </si>
  <si>
    <t>Hourly rate</t>
  </si>
  <si>
    <t>IDACI Threshold</t>
  </si>
  <si>
    <t>Total hourly rate</t>
  </si>
  <si>
    <t>Total Budget Funding</t>
  </si>
  <si>
    <t xml:space="preserve">Lump sum </t>
  </si>
  <si>
    <t>4 Street Nursery - 857 - Day nursery</t>
  </si>
  <si>
    <t>Alexandra Jane Jukes - 2261 - Childminder</t>
  </si>
  <si>
    <t>Amanda Jane Hopson - 570 - Childminder</t>
  </si>
  <si>
    <t>Amanda Mary Whiter - 2219 - Childminder</t>
  </si>
  <si>
    <t>Ann Atkins - 3033 - Childminder</t>
  </si>
  <si>
    <t>Azra Parveen - 624 - Childminder</t>
  </si>
  <si>
    <t>Blue House Daycare - 3698 - Day nursery</t>
  </si>
  <si>
    <t>Bright Horizons at RAF Northolt - 2201 - Day nursery</t>
  </si>
  <si>
    <t>Busy Bees Day Nursery at Heathrow - 839 - Day nursery</t>
  </si>
  <si>
    <t>Busy Bees Day Nursery at Hillingdon - 2204 - Day nursery</t>
  </si>
  <si>
    <t>Butterflies Preschool - 3655 - Pre-School Playgroup</t>
  </si>
  <si>
    <t>Butterflies Preschool - Cowley - 3493 - Pre-School Playgroup</t>
  </si>
  <si>
    <t>Celestina Owusu-Agyare - 338 - Childminder</t>
  </si>
  <si>
    <t>Cheeky Chums Day Nursery - 3252 - Day nursery</t>
  </si>
  <si>
    <t>Chickywicks Day Nursery - 784 - Day nursery</t>
  </si>
  <si>
    <t>Childsplay Pre-School Playgroup - 896 - Pre-School Playgroup</t>
  </si>
  <si>
    <t>Christine Jancso - 337 - Childminder</t>
  </si>
  <si>
    <t>Coat of Many Colours Nursery - 811 - Day nursery</t>
  </si>
  <si>
    <t>Coat of Many Colours Nursery Hayes Branch - 2400 - Day nursery</t>
  </si>
  <si>
    <t>Creative Fingers Community Nursery LTD - 3519 - Day nursery</t>
  </si>
  <si>
    <t>Deborah Ann Linsey - 515 - Childminder</t>
  </si>
  <si>
    <t>Deborah Jane Harding - 506 - Childminder</t>
  </si>
  <si>
    <t>Debra Ann North - 737 - Childminder</t>
  </si>
  <si>
    <t>Discovery Nursery And Preschool - 3793 - Day nursery</t>
  </si>
  <si>
    <t>Eilmar Montessori Day Nursery - 851 - Day nursery</t>
  </si>
  <si>
    <t>Elizabeth Jane Webb - 621 - Childminder</t>
  </si>
  <si>
    <t>Evelyne Cora Ephram - 3756 - Childminder</t>
  </si>
  <si>
    <t>Funtimes Playgroup - 794 - Pre-School Playgroup</t>
  </si>
  <si>
    <t>Gail Jean Randall - 2068 - Childminder</t>
  </si>
  <si>
    <t>Gena Anne Betts - 559 - Childminder</t>
  </si>
  <si>
    <t>Grainne Majella Bridget O'Hare - 464 - Childminder</t>
  </si>
  <si>
    <t>Hannah Carol O'Donovan - 707 - Childminder</t>
  </si>
  <si>
    <t>Happy Days Pre-School - 897 - Pre-School Playgroup</t>
  </si>
  <si>
    <t>Happy Tree (West Drayton) Ltd - 2111 - Day nursery</t>
  </si>
  <si>
    <t>Harefield Hospital Day Nursery - 872 - Day nursery</t>
  </si>
  <si>
    <t>Stephanie Ann Hawkins - 3595 - Childminder</t>
  </si>
  <si>
    <t>Honey Bears Montessori - 808 - Day nursery</t>
  </si>
  <si>
    <t>Hungry Caterpillar Day Nurseries- Yeading - 825 - Day nursery</t>
  </si>
  <si>
    <t>Jelly Tots Pre-School - 3723 - Pre-School Playgroup</t>
  </si>
  <si>
    <t>Joanne Hall - 591 - Childminder</t>
  </si>
  <si>
    <t>Jolene Nichola Juliese Oosthuizen - 2549 - Childminder</t>
  </si>
  <si>
    <t>Jolly Rainbows Nursery Ltd - 3609 - Pre-School Playgroup</t>
  </si>
  <si>
    <t>Julie Jane Corrigan - 2164 - Childminder</t>
  </si>
  <si>
    <t>June Ann Reynolds - 499 - Childminder</t>
  </si>
  <si>
    <t>Kamal Preet Matharu - 2313 - Childminder</t>
  </si>
  <si>
    <t>Morrison, Karen - 323 - Childminder</t>
  </si>
  <si>
    <t>Katarina Marcincin - 2393 - Childminder</t>
  </si>
  <si>
    <t>Katja Layher-Segal - 2225 - Childminder</t>
  </si>
  <si>
    <t>Katy Louise Sowrey - 2287 - Childminder</t>
  </si>
  <si>
    <t>Kavita Hajare - 3763 - Childminder</t>
  </si>
  <si>
    <t>Kiddiecare Nurseries - Ashdown - 3817 - Day nursery</t>
  </si>
  <si>
    <t>Kiddiecare Nursery - West Drayton - 3603 - Day nursery</t>
  </si>
  <si>
    <t>Kiddiecare Nursery - Botwell - 2336 - Day nursery</t>
  </si>
  <si>
    <t>Kiddiecare Nursery - Church Road - 2203 - Day nursery</t>
  </si>
  <si>
    <t>Kiddiecare Nursery - Pine Place - 3656 - Day nursery</t>
  </si>
  <si>
    <t>Laurette Holmes - 3262 - Childminder</t>
  </si>
  <si>
    <t>Lesley Elizabeth Hunt - 532 - Childminder</t>
  </si>
  <si>
    <t>Lilliput Pre-School - 2263 - Pre-School Playgroup</t>
  </si>
  <si>
    <t>Lilliput Pre-School Uxbridge - 3717 - Pre-School Playgroup</t>
  </si>
  <si>
    <t>Linda Tracey Taylor - 562 - Childminder</t>
  </si>
  <si>
    <t>Little Companions Pre-School - 3269 - Pre-School Playgroup</t>
  </si>
  <si>
    <t>Little Crickets Learning Centre - 2244 - Day nursery</t>
  </si>
  <si>
    <t>Little Leaf Nursery - 3541 - Day nursery</t>
  </si>
  <si>
    <t>Little Marvels Day Nursery (Brookside) - 3759 - Day nursery</t>
  </si>
  <si>
    <t>Little Marvels Day Nursery (Hewens) - 3758 - Day nursery</t>
  </si>
  <si>
    <t>Little Marvels Nursery - (Rosedale) - 3724 - Day nursery</t>
  </si>
  <si>
    <t>Little People Daycare - 3652 - Day nursery</t>
  </si>
  <si>
    <t>Little Stars Pre-School - 3533 - Pre-School Playgroup</t>
  </si>
  <si>
    <t>Littlebrook Nursery - 2342 - Day nursery</t>
  </si>
  <si>
    <t>Littlebrook Nursery - Longford - 854 - Day nursery</t>
  </si>
  <si>
    <t>Lollipops Playgroup - 898 - Pre-School Playgroup</t>
  </si>
  <si>
    <t>Nestles Avenue Children's Centre - 865 - Day nursery</t>
  </si>
  <si>
    <t>Loretta Maria Critchett - 2172 - Childminder</t>
  </si>
  <si>
    <t>Louise Nina Mansford - 3492 - Childminder</t>
  </si>
  <si>
    <t>Lysander Preschool - 858 - Pre-School Playgroup</t>
  </si>
  <si>
    <t>Magic Steps Nursery - 3019 - Day nursery</t>
  </si>
  <si>
    <t>Meadows Early Years Practitioners - 2142 - Pre-School Playgroup</t>
  </si>
  <si>
    <t>Michelle Lorraine Dickson - 2215 - Childminder</t>
  </si>
  <si>
    <t>Ministeps Nursery - 3596 - Day nursery</t>
  </si>
  <si>
    <t>Monika Anna Taratajcio - 714 - Childminder</t>
  </si>
  <si>
    <t>Monkey Puzzle Day Nursery Uxbridge - 3778 - Day nursery</t>
  </si>
  <si>
    <t>Mount Vernon Nursery - 830 - Day nursery</t>
  </si>
  <si>
    <t>Northwood College (Bluebelle House) - 250 - Nursery Units of Independent Schools</t>
  </si>
  <si>
    <t>Oaklands Pre-School Playgroup - 882 - Pre-School Playgroup</t>
  </si>
  <si>
    <t>Once Upon A Time - Eastcote - 864 - Day nursery</t>
  </si>
  <si>
    <t>Once Upon A Time - Rockingham Road - 863 - Day nursery</t>
  </si>
  <si>
    <t>Once Upon A Time Day Nurseries - Yeading Lane - 3266 - Day nursery</t>
  </si>
  <si>
    <t>Once Upon A Time Day Nurseries - York Road - 867 - Day nursery</t>
  </si>
  <si>
    <t>Once Upon A Time Playgroup - 814 - Pre-School Playgroup</t>
  </si>
  <si>
    <t>Payal Parekh - 3702 - Childminder</t>
  </si>
  <si>
    <t>Peapods Early Learning Centre Ltd (Hillingdon) - 3832 - Day nursery</t>
  </si>
  <si>
    <t>Petra Salisbury - 3735 - Childminder</t>
  </si>
  <si>
    <t>Premier Nursery Uxbridge - 859 - Day nursery</t>
  </si>
  <si>
    <t>Pre-School Academy - 2199 - Day nursery</t>
  </si>
  <si>
    <t>Pre-School Playhouse - 887 - Day nursery</t>
  </si>
  <si>
    <t>Rachel Carmen Hetherington - 574 - Childminder</t>
  </si>
  <si>
    <t>Roda Mohamed - 2324 - Childminder</t>
  </si>
  <si>
    <t>Rosewood Montessori - 823 - Day nursery</t>
  </si>
  <si>
    <t>Ruislip Methodist Playgroup - 873 - Pre-School Playgroup</t>
  </si>
  <si>
    <t>Ruislip Stars Nurseries Ltd - 3585 - Day nursery</t>
  </si>
  <si>
    <t>Ruth Elizabeth Jones - 2137 - Childminder</t>
  </si>
  <si>
    <t>Sarah Elizabeth Francis - 3522 - Childminder</t>
  </si>
  <si>
    <t>Sarah Lyn Bradshaw - 538 - Childminder</t>
  </si>
  <si>
    <t>Sarah Paterson - 679 - Childminder</t>
  </si>
  <si>
    <t>Seeta Chopra - 472 - Childminder</t>
  </si>
  <si>
    <t>Shabana Nawaz - 763 - Childminder</t>
  </si>
  <si>
    <t>Sharon Louise Smith - 2184 - Childminder</t>
  </si>
  <si>
    <t>Shepherds Hill Nursery - 812 - Day nursery</t>
  </si>
  <si>
    <t>Siobhan Mary Chatburn - 581 - Childminder</t>
  </si>
  <si>
    <t>Smarty's Nursery - 3471 - Day nursery</t>
  </si>
  <si>
    <t>Smarty's Nursery - 644 - Day nursery</t>
  </si>
  <si>
    <t>Smarty's Nursery North Hayes - 3736 - Day nursery</t>
  </si>
  <si>
    <t>South Ruislip Early Years &amp; Children's Centre - 2311 - Day nursery</t>
  </si>
  <si>
    <t>St Helen's College Limited - 273 - Nursery Units of Independent Schools</t>
  </si>
  <si>
    <t>St Johns School - 277 - Nursery Units of Independent Schools</t>
  </si>
  <si>
    <t>St Martins Kindergarten - 249 - Nursery Units of Independent Schools</t>
  </si>
  <si>
    <t>St Vincent's Nursery Ltd - 816 - Day nursery</t>
  </si>
  <si>
    <t>Stepping Stones Nursery - 3332 - Day nursery</t>
  </si>
  <si>
    <t>Sunflower House Nursery Cowley - 3651 - Day nursery</t>
  </si>
  <si>
    <t>Sunflower House Nursery-Hillingdon - 3833 - Day nursery</t>
  </si>
  <si>
    <t>Susan Jane Newbey - 302 - Childminder</t>
  </si>
  <si>
    <t>Suzanne Kay Page - 327 - Childminder</t>
  </si>
  <si>
    <t>Sweetcroft Day Care - 800 - Day nursery</t>
  </si>
  <si>
    <t>Tanya Freeman - 3871 - Childminder</t>
  </si>
  <si>
    <t>Tara Jane Perrett - 388 - Childminder</t>
  </si>
  <si>
    <t>Tara Kindergarden Uxbridge - 889 - Day nursery</t>
  </si>
  <si>
    <t>The Eye Nursery Limited - 306 - Day nursery</t>
  </si>
  <si>
    <t>The Growing Tree Nursery - 799 - Day nursery</t>
  </si>
  <si>
    <t>The Hall School (within the Grange) - 261 - Nursery Units of Independent Schools</t>
  </si>
  <si>
    <t>The Homestead Childcare - 3770 - Day nursery</t>
  </si>
  <si>
    <t>The Little Learners Montessori Northwood - 3544 - Day nursery</t>
  </si>
  <si>
    <t>The Young Ones Ltd - 883 - Day nursery</t>
  </si>
  <si>
    <t>Tinies Nursery Northwood - 3820 - Day nursery</t>
  </si>
  <si>
    <t>Tiny Gems Day Care - 3299 - Day nursery</t>
  </si>
  <si>
    <t>Tresha Gockelen-MacDougall - 487 - Childminder</t>
  </si>
  <si>
    <t>Twinkle Stars Montessori Nursery - 2153 - Day nursery</t>
  </si>
  <si>
    <t>Twinkletotz Day Nursery Ltd - 2262 - Day nursery</t>
  </si>
  <si>
    <t>Uxbridge Early Years Centre - 875 - Day nursery</t>
  </si>
  <si>
    <t>Wendy Alice Clear - 612 - Childminder</t>
  </si>
  <si>
    <t>Wetherby House Montessori Ltd - 3806 - Day nursery</t>
  </si>
  <si>
    <t>White House Nursery - 871 - Day nursery</t>
  </si>
  <si>
    <t>Wonderland Nursery Ltd - 832 - Day nursery</t>
  </si>
  <si>
    <t>Wonderland Nursery Ltd - 877 - Day nursery</t>
  </si>
  <si>
    <t>Woodlands Nursery - 868 - Day nursery</t>
  </si>
  <si>
    <t>Woodlodge Montessori School - 2366 - Day nursery</t>
  </si>
  <si>
    <t>Yasmine Ahmed Bashe - 3479 - Childminder</t>
  </si>
  <si>
    <t>Zuzana Miranda - 755 - Childminder</t>
  </si>
  <si>
    <t>PVI Total</t>
  </si>
  <si>
    <t>Belmore Primary</t>
  </si>
  <si>
    <t>Botwell House RC Primary</t>
  </si>
  <si>
    <t>Bourne Primary</t>
  </si>
  <si>
    <t>Brookside Primary</t>
  </si>
  <si>
    <t>BWI CE Primary</t>
  </si>
  <si>
    <t>Charville Primary</t>
  </si>
  <si>
    <t>Colham Manor Primary</t>
  </si>
  <si>
    <t>Coteford Infant</t>
  </si>
  <si>
    <t>Cowley St Laurence</t>
  </si>
  <si>
    <t>Cranford Park Primary</t>
  </si>
  <si>
    <t>Deanesfield Primary</t>
  </si>
  <si>
    <t>Dr Tripletts CE</t>
  </si>
  <si>
    <t>Field End Infant</t>
  </si>
  <si>
    <t>Frithwood Primary</t>
  </si>
  <si>
    <t>Glebe Primary</t>
  </si>
  <si>
    <t>Grange Park Infant</t>
  </si>
  <si>
    <t>Harefield Infant</t>
  </si>
  <si>
    <t>Harlyn Primary</t>
  </si>
  <si>
    <t>Harmondsworth Primary</t>
  </si>
  <si>
    <t>Hayes Park Primary</t>
  </si>
  <si>
    <t>Heathrow Primary</t>
  </si>
  <si>
    <t>Hermitage Primary</t>
  </si>
  <si>
    <t>Hewens Primary</t>
  </si>
  <si>
    <t>Highfield Primary</t>
  </si>
  <si>
    <t>Hillingdon Primary</t>
  </si>
  <si>
    <t>Hillside Infant</t>
  </si>
  <si>
    <t>Holy Trinity CE Primary</t>
  </si>
  <si>
    <t>John Locke</t>
  </si>
  <si>
    <t>Lady Bankes Infant</t>
  </si>
  <si>
    <t>Lake Farm Park</t>
  </si>
  <si>
    <t>Laurel Lane Primary</t>
  </si>
  <si>
    <t>Minet Infant</t>
  </si>
  <si>
    <t>Newnham Infant</t>
  </si>
  <si>
    <t>Oak Farm Infant</t>
  </si>
  <si>
    <t>Rabbsfarm Primary</t>
  </si>
  <si>
    <t>Ruislip Gardens Primary</t>
  </si>
  <si>
    <t>Ryefield Primary</t>
  </si>
  <si>
    <t>Sacred Heart RC Primary</t>
  </si>
  <si>
    <t>St Andrew's CE Primary</t>
  </si>
  <si>
    <t>St Bernadette's RC Primary</t>
  </si>
  <si>
    <t>St Catherine's RC Primary</t>
  </si>
  <si>
    <t>St Martins</t>
  </si>
  <si>
    <t>St Mary's RC Primary</t>
  </si>
  <si>
    <t>St Matthew's CE Primary</t>
  </si>
  <si>
    <t>St Swithun Wells RC Primary</t>
  </si>
  <si>
    <t>Warrender Primary</t>
  </si>
  <si>
    <t>West Drayton Primary</t>
  </si>
  <si>
    <t>Whitehall Infant</t>
  </si>
  <si>
    <t>Whiteheath Infant</t>
  </si>
  <si>
    <t>William Byrd Primary</t>
  </si>
  <si>
    <t>Wood End Park</t>
  </si>
  <si>
    <t>Yeading Infant</t>
  </si>
  <si>
    <t>School Total</t>
  </si>
  <si>
    <t>EYSFF (Additional 15 hours)</t>
  </si>
  <si>
    <t>EYSFF (Universal 15 hours)</t>
  </si>
  <si>
    <r>
      <rPr>
        <b/>
        <sz val="10"/>
        <rFont val="Arial"/>
        <family val="2"/>
      </rPr>
      <t>EYSFF (additional hours)</t>
    </r>
    <r>
      <rPr>
        <sz val="10"/>
        <rFont val="Arial"/>
        <family val="2"/>
      </rPr>
      <t xml:space="preserve"> - There is now an additional tab with estimated funding for the additional 15 hours entitlement. As the additional 15 hours scheme was only implemented in Sep '17, it is difficult to estimate the annual uptake of these hours and so a number of assumptions have been made. These figures should therefore only be used as a guide.</t>
    </r>
  </si>
  <si>
    <r>
      <rPr>
        <b/>
        <sz val="10"/>
        <rFont val="Arial"/>
        <family val="2"/>
      </rPr>
      <t>EYSFF (universal hours)</t>
    </r>
    <r>
      <rPr>
        <sz val="10"/>
        <rFont val="Arial"/>
        <family val="2"/>
      </rPr>
      <t xml:space="preserve"> - This budget has been based on the May 17, Oct 17, and Jan 18 census (where Jan '18 numbers were not yet available. Jan '17 were used) which is then multiplied by your hourly rate. The Early Years Funding Formula is unchanged from 2017-18 with a universal base rate (91%), deprivation rate (7%) and additional needs factor (2%) which targets those settings with higher than average IDACI scoring (the figure set is 0.25).</t>
    </r>
  </si>
  <si>
    <r>
      <t xml:space="preserve">Top up (Low Incidence Statements) - </t>
    </r>
    <r>
      <rPr>
        <sz val="10"/>
        <rFont val="Arial"/>
        <family val="2"/>
      </rPr>
      <t xml:space="preserve">This is funding for named children with a statement of SEN or an EHCP, and is based on the current known statemented children for your school in 2018-19 as at March 2018, including September leavers where possible.
</t>
    </r>
    <r>
      <rPr>
        <u val="single"/>
        <sz val="10"/>
        <rFont val="Arial"/>
        <family val="2"/>
      </rPr>
      <t>This figure will be adjusted throughout the year to reflect changes to actual children attending.</t>
    </r>
  </si>
  <si>
    <t>EYSFF UNIVERSAL 15 HOURS BUDGET 2018/19</t>
  </si>
  <si>
    <t>EYSFF EXTENDED 15 HOURS BUDGET 2018/19</t>
  </si>
  <si>
    <t>Total funding</t>
  </si>
  <si>
    <t>Projected Universal Hours</t>
  </si>
  <si>
    <t>Projected Extended Hours</t>
  </si>
  <si>
    <r>
      <t xml:space="preserve">Growth Contingency - </t>
    </r>
    <r>
      <rPr>
        <sz val="10"/>
        <rFont val="Arial"/>
        <family val="2"/>
      </rPr>
      <t>This is a contingency of DSG funding held and managed by Schools Forum, which provides funding to those schools who take on an additional form of entry in September. The rate per form of entry has been set at £63,160 for 2018-19. This is calculated by dividing the total AWPU funding for the year by the total number of pupils, multiplied by 30, and apportioned 7/12ths. Academy schools will receive 12/12ths of this funding over the academic year, due to financial year timings. These allocations were approved by Schools Forum at the January meeting.</t>
    </r>
  </si>
  <si>
    <t>EYSFF (Additional)</t>
  </si>
  <si>
    <t>EYSFF 
(Universal)</t>
  </si>
  <si>
    <t>ADDITIONAL HIGH NEEDS FUNDING FOR MAINSTREAM SCHOOLS</t>
  </si>
  <si>
    <t>2% of NOR</t>
  </si>
  <si>
    <t>Difference</t>
  </si>
  <si>
    <t>Funding due</t>
  </si>
  <si>
    <t>William Byrd</t>
  </si>
  <si>
    <t>Cranford Park Academy</t>
  </si>
  <si>
    <t>Swakeleys School</t>
  </si>
  <si>
    <t>Rosedale Primary</t>
  </si>
  <si>
    <t>DeSalis Studio College</t>
  </si>
  <si>
    <t>Stockley Academy</t>
  </si>
  <si>
    <t>2% Threshold funding based on Jan 18  data</t>
  </si>
  <si>
    <t>NOR Jan 18 (less nursery, SRP and post 16)</t>
  </si>
  <si>
    <t>No. Mainstream SEN Jan 18</t>
  </si>
  <si>
    <t>Belmore</t>
  </si>
  <si>
    <t>Brookside</t>
  </si>
  <si>
    <t>Bourne</t>
  </si>
  <si>
    <t>Breakspear</t>
  </si>
  <si>
    <t>Colham Manor P</t>
  </si>
  <si>
    <t>Coteford J</t>
  </si>
  <si>
    <t>Coteford I</t>
  </si>
  <si>
    <t>Deanesfield</t>
  </si>
  <si>
    <t>Laurel Lane</t>
  </si>
  <si>
    <t>Field End J</t>
  </si>
  <si>
    <t>Field End I</t>
  </si>
  <si>
    <t>Glebe</t>
  </si>
  <si>
    <t>Nanaksar</t>
  </si>
  <si>
    <t>Harefield J</t>
  </si>
  <si>
    <t>Harefield I</t>
  </si>
  <si>
    <t>Harlyn</t>
  </si>
  <si>
    <t>Harmondsworth</t>
  </si>
  <si>
    <t>Heathrow</t>
  </si>
  <si>
    <t>Lady Bankes J</t>
  </si>
  <si>
    <t>Lady Bankes I</t>
  </si>
  <si>
    <t>Minet J</t>
  </si>
  <si>
    <t>Minet I</t>
  </si>
  <si>
    <t>Newnham J</t>
  </si>
  <si>
    <t>Newnham I</t>
  </si>
  <si>
    <t>Pinkwell</t>
  </si>
  <si>
    <t>Ryefield</t>
  </si>
  <si>
    <t>West Drayton</t>
  </si>
  <si>
    <t>Whitehall J</t>
  </si>
  <si>
    <t>Whiteheath J</t>
  </si>
  <si>
    <t>Yeading J</t>
  </si>
  <si>
    <t>Yeading I</t>
  </si>
  <si>
    <t>Hermitage</t>
  </si>
  <si>
    <t>Highfield</t>
  </si>
  <si>
    <t>Rabbsfarm</t>
  </si>
  <si>
    <t>Warrender</t>
  </si>
  <si>
    <t>Whitehall I</t>
  </si>
  <si>
    <t>Whiteheath I</t>
  </si>
  <si>
    <t>Frithwood</t>
  </si>
  <si>
    <t>Cranford Park</t>
  </si>
  <si>
    <t>Ruislip Gardens</t>
  </si>
  <si>
    <t>Hillingdon</t>
  </si>
  <si>
    <t>Cherry Lane</t>
  </si>
  <si>
    <t>BWI</t>
  </si>
  <si>
    <t>Holy Trinity</t>
  </si>
  <si>
    <t>St Matthew's</t>
  </si>
  <si>
    <t>Dr Triplett's</t>
  </si>
  <si>
    <t>St Swithun Wells</t>
  </si>
  <si>
    <t>Botwell House</t>
  </si>
  <si>
    <t>St Bernadette's</t>
  </si>
  <si>
    <t>St Catherine's</t>
  </si>
  <si>
    <t>St Mary's</t>
  </si>
  <si>
    <t>Sacred Heart</t>
  </si>
  <si>
    <t>Cowley &amp; St Laurence</t>
  </si>
  <si>
    <t>Ruislip Community</t>
  </si>
  <si>
    <t>Bishop Ramsey</t>
  </si>
  <si>
    <t>Guru Nanak Academy</t>
  </si>
  <si>
    <t>Oak Farm I</t>
  </si>
  <si>
    <t>Oak Farm J</t>
  </si>
  <si>
    <t>Grange Park J</t>
  </si>
  <si>
    <t>Grange Park I</t>
  </si>
  <si>
    <t>Hillside I</t>
  </si>
  <si>
    <t>Hillside J</t>
  </si>
  <si>
    <t>Charville</t>
  </si>
  <si>
    <t>St Andrew's</t>
  </si>
  <si>
    <t>Bishopshalt</t>
  </si>
  <si>
    <t>Haydon</t>
  </si>
  <si>
    <t>Vyners</t>
  </si>
  <si>
    <t>Queensmead</t>
  </si>
  <si>
    <t>Uxbridge High</t>
  </si>
  <si>
    <t>Northwood</t>
  </si>
  <si>
    <t>Douay Martyrs</t>
  </si>
  <si>
    <t>Oak Wood</t>
  </si>
  <si>
    <t>Swakeleys</t>
  </si>
  <si>
    <t>Harlington</t>
  </si>
  <si>
    <t>Barnhill Community</t>
  </si>
  <si>
    <t>Harefield Academy</t>
  </si>
  <si>
    <t>2% Threshold</t>
  </si>
  <si>
    <r>
      <rPr>
        <b/>
        <sz val="10"/>
        <rFont val="Arial"/>
        <family val="2"/>
      </rPr>
      <t>2% Mainstream SEN threshold</t>
    </r>
    <r>
      <rPr>
        <sz val="10"/>
        <rFont val="Arial"/>
        <family val="2"/>
      </rPr>
      <t xml:space="preserve"> With the agreement of Schools Forum, LA's are permitted to distribute additional high needs funding outside the school budget.  In Hillingdon, if a mainstream school has more than 2% of its NOR with an EHCP, £6,000 will be provided for each child above the 2%.  e.g. if the NOR is 400, 2% is 8 children, therefore the school would attract the additional funding for the 9th child onwards.  </t>
    </r>
    <r>
      <rPr>
        <u val="single"/>
        <sz val="10"/>
        <rFont val="Arial"/>
        <family val="2"/>
      </rPr>
      <t>The initial budget has been based on Jan 18 data, and during the financial year, we will update the calculation following each termly census count</t>
    </r>
  </si>
  <si>
    <t>Other Grants (ESTIMATES) Maintained schools only</t>
  </si>
  <si>
    <t>Pupil Premium (Deprivation)</t>
  </si>
  <si>
    <t>Pupil Premium (Service Children)</t>
  </si>
  <si>
    <t>Pupil Premium (Post LAC)</t>
  </si>
  <si>
    <t>PE and Sports Grant</t>
  </si>
  <si>
    <t>Universal Infant Free School Meals (UIFSM)</t>
  </si>
  <si>
    <t>Devolved Formula Capital</t>
  </si>
  <si>
    <t>Non DSG grants - estimates maintained schools only</t>
  </si>
  <si>
    <t>Pupil Premium-Deprivation</t>
  </si>
  <si>
    <t>Pupil Premium - Service Children</t>
  </si>
  <si>
    <t>Pupil Premium - Post LAC</t>
  </si>
  <si>
    <t>PE and Sports</t>
  </si>
  <si>
    <t>UIFSM</t>
  </si>
  <si>
    <t>DFC</t>
  </si>
  <si>
    <t>Other DSG - all schools</t>
  </si>
  <si>
    <t>EFA Sixth form (Apr-Jul 17)</t>
  </si>
  <si>
    <t>EFA Sixth form (Aug-Mar 18)</t>
  </si>
  <si>
    <t>Other Grants - ESTIMATES (Maintained Schools only)</t>
  </si>
  <si>
    <r>
      <t xml:space="preserve">DFC - </t>
    </r>
    <r>
      <rPr>
        <sz val="10"/>
        <rFont val="Arial"/>
        <family val="2"/>
      </rPr>
      <t>We are still awaiting the release of Devolved Formula Capital allocations from the DfE.  As soon as we receive the information we will communicate this to schools and make the necessary adjustment to your funding through the cash advance.</t>
    </r>
  </si>
  <si>
    <t>Special Schools and SRPs</t>
  </si>
  <si>
    <t>Please refer to the separate spreadsheet for details of these allocations</t>
  </si>
  <si>
    <t>21-22</t>
  </si>
  <si>
    <r>
      <rPr>
        <b/>
        <sz val="10"/>
        <rFont val="Arial"/>
        <family val="2"/>
      </rPr>
      <t>EFA 16-19</t>
    </r>
    <r>
      <rPr>
        <sz val="10"/>
        <rFont val="Arial"/>
        <family val="2"/>
      </rPr>
      <t xml:space="preserve"> As communicated to us by the EFA (we are still waiting on allocations for the 2018-19 academic year. As soon as we have these we will make the necessary adjustments to your funding through the cash advance)</t>
    </r>
  </si>
  <si>
    <t>Barnhill Community High School</t>
  </si>
  <si>
    <t>Belmore Primary Academy</t>
  </si>
  <si>
    <t>Bishop Ramsey Church of England School</t>
  </si>
  <si>
    <t>Bishop Winnington-Ingram CofE Primary School</t>
  </si>
  <si>
    <t>Cherry Lane Primary School</t>
  </si>
  <si>
    <t>Cowley St Laurence CE Primary School</t>
  </si>
  <si>
    <t>Dr Triplett's CofE Primary School</t>
  </si>
  <si>
    <t>Grange Park Infant and Nursery School</t>
  </si>
  <si>
    <t>Hayes Park School</t>
  </si>
  <si>
    <t>Holy Trinity CofE Primary School</t>
  </si>
  <si>
    <t>Lady Bankes Infant and Nursery School</t>
  </si>
  <si>
    <t>McMillan Nursery School (Hayes)</t>
  </si>
  <si>
    <t>Minet Nursery and Infant School</t>
  </si>
  <si>
    <t>Newnham Infant and Nursery School</t>
  </si>
  <si>
    <t>Park Academy West London (Formely Stockley Academy)</t>
  </si>
  <si>
    <t>St Andrew's CofE Primary School</t>
  </si>
  <si>
    <t>St Catherine Catholic Primary School</t>
  </si>
  <si>
    <t>St Martin's Church of England Primary School</t>
  </si>
  <si>
    <t>St Matthew's CofE Primary School</t>
  </si>
  <si>
    <t>St Swithun Wells' Catholic Primary School</t>
  </si>
  <si>
    <t>The Douay Martyrs Catholic School</t>
  </si>
  <si>
    <t>Whiteheath Infant and Nursery School</t>
  </si>
  <si>
    <t>William Byrd Academy</t>
  </si>
  <si>
    <t>Wood End Park Academy</t>
  </si>
  <si>
    <t>Yeading Infant and Nursery School</t>
  </si>
  <si>
    <t>The Global Academy UTC</t>
  </si>
  <si>
    <t>ESFA 16-19 (Apr-Jul 17)</t>
  </si>
  <si>
    <t>ESFA 16-19 (Aug-Mar 18)</t>
  </si>
  <si>
    <r>
      <rPr>
        <b/>
        <sz val="10"/>
        <rFont val="Arial"/>
        <family val="2"/>
      </rPr>
      <t xml:space="preserve">Pupil Premium (Service Children) </t>
    </r>
    <r>
      <rPr>
        <sz val="10"/>
        <rFont val="Arial"/>
        <family val="2"/>
      </rPr>
      <t xml:space="preserve">This is based on the number of children who have been recorded as a service child at any census in the last 6 years.  A service child is defined as one whose parents or guardian are a member of the British Armed Forces.  </t>
    </r>
    <r>
      <rPr>
        <u val="single"/>
        <sz val="10"/>
        <rFont val="Arial"/>
        <family val="2"/>
      </rPr>
      <t>The figures quoted are based on October 17 multiplied by the 2018-19 rates per pupil.  These allocations will be updated based on January 18 data, when the DfE release this information to us in June, after which we will make an adjustment to your cash advance allocation where necessary</t>
    </r>
  </si>
  <si>
    <r>
      <rPr>
        <b/>
        <sz val="10"/>
        <rFont val="Arial"/>
        <family val="2"/>
      </rPr>
      <t>Pupil Premium (Deprivation)</t>
    </r>
    <r>
      <rPr>
        <sz val="10"/>
        <rFont val="Arial"/>
        <family val="2"/>
      </rPr>
      <t xml:space="preserve"> This is based on the number of children, who have been eligible at any census in the previous 6 years for free school meals.  T</t>
    </r>
    <r>
      <rPr>
        <u val="single"/>
        <sz val="10"/>
        <rFont val="Arial"/>
        <family val="2"/>
      </rPr>
      <t>he figures quoted are based on October 17 multiplied by the 2018-19 rates per pupil.  These allocations will be updated based on January 18 data, when the DfE release this information to us in June, after which we will make an adjustment to your cash advance allocation where necessary</t>
    </r>
  </si>
  <si>
    <r>
      <rPr>
        <b/>
        <sz val="10"/>
        <rFont val="Arial"/>
        <family val="2"/>
      </rPr>
      <t>Pupil Premium (Post LAC)</t>
    </r>
    <r>
      <rPr>
        <sz val="10"/>
        <rFont val="Arial"/>
        <family val="2"/>
      </rPr>
      <t xml:space="preserve"> This is based on the number of children who have been adopted from care after 2005, or left care under a special guardianship order after 1991.  </t>
    </r>
    <r>
      <rPr>
        <u val="single"/>
        <sz val="10"/>
        <rFont val="Arial"/>
        <family val="2"/>
      </rPr>
      <t>The figures quoted have been based on October 17 census data, the DfE will release final allocations in June, after which we will confirm and make an adjusment to your cash advance allocation where necessary</t>
    </r>
  </si>
  <si>
    <r>
      <rPr>
        <b/>
        <sz val="10"/>
        <rFont val="Arial"/>
        <family val="2"/>
      </rPr>
      <t>PE and Sports Grant</t>
    </r>
    <r>
      <rPr>
        <sz val="10"/>
        <rFont val="Arial"/>
        <family val="2"/>
      </rPr>
      <t xml:space="preserve"> This is the final part of the academic year 2017-18 grant, due in May 18, and an estimate of the first instalment of the 2018-19 academic year funding.  We have based the estimate on October 17 pupils and the current funding rates, </t>
    </r>
    <r>
      <rPr>
        <u val="single"/>
        <sz val="10"/>
        <rFont val="Arial"/>
        <family val="2"/>
      </rPr>
      <t>this will be confirmed by the DfE later in the year, after which adjustments may be made to your cash advance allocation.</t>
    </r>
  </si>
  <si>
    <r>
      <rPr>
        <b/>
        <sz val="10"/>
        <rFont val="Arial"/>
        <family val="2"/>
      </rPr>
      <t>Universal Infant Free School Meals (UIFSM)</t>
    </r>
    <r>
      <rPr>
        <sz val="10"/>
        <rFont val="Arial"/>
        <family val="2"/>
      </rPr>
      <t xml:space="preserve"> This is an academic year grant, therefore your financial year allocation will be made up of 2 amounts - the final payment for the academic year 2017-18 and the first payment for academic year 2018-19.  </t>
    </r>
    <r>
      <rPr>
        <u val="single"/>
        <sz val="10"/>
        <rFont val="Arial"/>
        <family val="2"/>
      </rPr>
      <t>We have estimated these figures based on October 17 census data made available to us, regarding uptake of meals.  The final figures will be issued by the DfE in June, after which we will make an amendment to your cash advance allocation where necessary</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</si>
</sst>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0\ "/>
    <numFmt numFmtId="166" formatCode="\$#,##0\ ;\(\$#,##0\)"/>
    <numFmt numFmtId="167" formatCode="#,##0.00_ ;\-#,##0.00\ "/>
    <numFmt numFmtId="168" formatCode="_(&quot;£&quot;* #,##0.00_);_(&quot;£&quot;* \(#,##0.00\);_(&quot;£&quot;* &quot;-&quot;??_);_(@_)"/>
    <numFmt numFmtId="169" formatCode="_(* #,##0.00_);_(* \(#,##0.00\);_(* &quot;-&quot;??_);_(@_)"/>
    <numFmt numFmtId="170" formatCode="&quot;£&quot;#,##0.00"/>
    <numFmt numFmtId="171" formatCode="&quot;£&quot;#,##0"/>
    <numFmt numFmtId="172" formatCode="_-&quot;£&quot;* #,##0_-;\-&quot;£&quot;* #,##0_-;_-&quot;£&quot;* &quot;-&quot;??_-;_-@_-"/>
  </numFmts>
  <fonts count="55">
    <font>
      <sz val="10"/>
      <name val="Arial"/>
      <family val="0"/>
    </font>
    <font>
      <sz val="11"/>
      <color indexed="8"/>
      <name val="Calibri"/>
      <family val="2"/>
    </font>
    <font>
      <sz val="8"/>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4"/>
      <name val="Arial"/>
      <family val="2"/>
    </font>
    <font>
      <b/>
      <u val="single"/>
      <sz val="14"/>
      <color indexed="24"/>
      <name val="Times New Roman"/>
      <family val="1"/>
    </font>
    <font>
      <b/>
      <sz val="10"/>
      <color indexed="1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24"/>
      <name val="Times New Roman"/>
      <family val="1"/>
    </font>
    <font>
      <b/>
      <sz val="10"/>
      <color indexed="24"/>
      <name val="Times New Roman"/>
      <family val="1"/>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8"/>
      <color indexed="56"/>
      <name val="Cambria"/>
      <family val="2"/>
    </font>
    <font>
      <b/>
      <sz val="11"/>
      <color indexed="8"/>
      <name val="Calibri"/>
      <family val="2"/>
    </font>
    <font>
      <sz val="11"/>
      <color indexed="10"/>
      <name val="Calibri"/>
      <family val="2"/>
    </font>
    <font>
      <u val="single"/>
      <sz val="10"/>
      <name val="Arial"/>
      <family val="2"/>
    </font>
    <font>
      <b/>
      <u val="single"/>
      <sz val="12"/>
      <name val="Arial"/>
      <family val="2"/>
    </font>
    <font>
      <b/>
      <sz val="12"/>
      <name val="Arial"/>
      <family val="2"/>
    </font>
    <font>
      <sz val="9"/>
      <name val="Arial"/>
      <family val="2"/>
    </font>
    <font>
      <b/>
      <u val="single"/>
      <sz val="14"/>
      <name val="Arial"/>
      <family val="2"/>
    </font>
    <font>
      <b/>
      <sz val="9"/>
      <name val="Tahoma"/>
      <family val="2"/>
    </font>
    <font>
      <sz val="9"/>
      <name val="Tahoma"/>
      <family val="2"/>
    </font>
    <font>
      <b/>
      <u val="single"/>
      <sz val="10"/>
      <name val="Arial"/>
      <family val="2"/>
    </font>
    <font>
      <sz val="8"/>
      <name val="MS Sans Serif"/>
      <family val="2"/>
    </font>
    <font>
      <sz val="12"/>
      <color indexed="8"/>
      <name val="Arial"/>
      <family val="2"/>
    </font>
    <font>
      <b/>
      <u val="single"/>
      <sz val="16"/>
      <color indexed="8"/>
      <name val="Calibri"/>
      <family val="2"/>
    </font>
    <font>
      <i/>
      <sz val="11"/>
      <color indexed="8"/>
      <name val="Calibri"/>
      <family val="2"/>
    </font>
    <font>
      <b/>
      <u val="single"/>
      <sz val="11"/>
      <color indexed="8"/>
      <name val="Calibri"/>
      <family val="2"/>
    </font>
    <font>
      <sz val="11"/>
      <name val="Calibri"/>
      <family val="2"/>
    </font>
    <font>
      <b/>
      <sz val="10"/>
      <color indexed="8"/>
      <name val="Arial"/>
      <family val="2"/>
    </font>
    <font>
      <sz val="10"/>
      <color indexed="8"/>
      <name val="Arial"/>
      <family val="2"/>
    </font>
    <font>
      <b/>
      <sz val="11"/>
      <name val="Calibri"/>
      <family val="2"/>
    </font>
    <font>
      <sz val="8"/>
      <name val="Segoe UI"/>
      <family val="2"/>
    </font>
    <font>
      <sz val="11"/>
      <color theme="1"/>
      <name val="Calibri"/>
      <family val="2"/>
    </font>
    <font>
      <sz val="12"/>
      <color theme="1"/>
      <name val="Arial"/>
      <family val="2"/>
    </font>
    <font>
      <b/>
      <u val="single"/>
      <sz val="16"/>
      <color theme="1"/>
      <name val="Calibri"/>
      <family val="2"/>
    </font>
    <font>
      <i/>
      <sz val="11"/>
      <color theme="1"/>
      <name val="Calibri"/>
      <family val="2"/>
    </font>
    <font>
      <b/>
      <sz val="11"/>
      <color theme="1"/>
      <name val="Calibri"/>
      <family val="2"/>
    </font>
    <font>
      <b/>
      <u val="single"/>
      <sz val="11"/>
      <color theme="1"/>
      <name val="Calibri"/>
      <family val="2"/>
    </font>
    <font>
      <b/>
      <sz val="10"/>
      <color theme="1"/>
      <name val="Arial"/>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gray0625">
        <fgColor indexed="22"/>
      </patternFill>
    </fill>
    <fill>
      <patternFill patternType="solid">
        <fgColor indexed="13"/>
        <bgColor indexed="64"/>
      </patternFill>
    </fill>
    <fill>
      <patternFill patternType="solid">
        <fgColor indexed="41"/>
        <bgColor indexed="64"/>
      </patternFill>
    </fill>
    <fill>
      <patternFill patternType="solid">
        <fgColor rgb="FF92D050"/>
        <bgColor indexed="64"/>
      </patternFill>
    </fill>
    <fill>
      <patternFill patternType="solid">
        <fgColor rgb="FFFFFF00"/>
        <bgColor indexed="64"/>
      </patternFill>
    </fill>
    <fill>
      <patternFill patternType="solid">
        <fgColor theme="7" tint="0.3999499976634979"/>
        <bgColor indexed="64"/>
      </patternFill>
    </fill>
    <fill>
      <patternFill patternType="solid">
        <fgColor rgb="FF00B0F0"/>
        <bgColor indexed="64"/>
      </patternFill>
    </fill>
    <fill>
      <patternFill patternType="solid">
        <fgColor theme="9" tint="0.39998000860214233"/>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color indexed="23"/>
      </top>
      <bottom style="medium">
        <color indexed="2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style="thick"/>
      <bottom style="double"/>
    </border>
    <border>
      <left/>
      <right/>
      <top style="thin"/>
      <bottom/>
    </border>
    <border>
      <left style="double"/>
      <right style="double"/>
      <top style="double"/>
      <bottom style="double"/>
    </border>
    <border>
      <left/>
      <right style="thick"/>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right/>
      <top style="thin"/>
      <bottom style="double"/>
    </border>
    <border>
      <left style="thick"/>
      <right style="thick"/>
      <top style="thin"/>
      <bottom/>
    </border>
    <border>
      <left/>
      <right/>
      <top style="thin"/>
      <bottom style="thin"/>
    </border>
    <border>
      <left/>
      <right/>
      <top style="thin">
        <color indexed="62"/>
      </top>
      <bottom style="double">
        <color indexed="62"/>
      </bottom>
    </border>
    <border>
      <left style="medium"/>
      <right style="medium"/>
      <top style="medium"/>
      <bottom style="medium"/>
    </border>
    <border>
      <left style="medium"/>
      <right style="medium"/>
      <top/>
      <bottom style="mediu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medium"/>
      <right style="medium"/>
      <top/>
      <bottom/>
    </border>
    <border>
      <left style="thin"/>
      <right style="thin"/>
      <top style="medium"/>
      <bottom style="medium"/>
    </border>
    <border>
      <left style="medium"/>
      <right style="thin"/>
      <top/>
      <bottom/>
    </border>
    <border>
      <left style="medium"/>
      <right style="thin"/>
      <top style="medium"/>
      <bottom/>
    </border>
    <border>
      <left style="thin"/>
      <right style="thin"/>
      <top style="medium"/>
      <bottom/>
    </border>
    <border>
      <left style="thin"/>
      <right style="medium"/>
      <top style="medium"/>
      <bottom/>
    </border>
    <border>
      <left style="thin"/>
      <right style="medium"/>
      <top style="medium"/>
      <bottom style="medium"/>
    </border>
    <border>
      <left/>
      <right/>
      <top style="medium"/>
      <bottom/>
    </border>
    <border>
      <left/>
      <right style="medium"/>
      <top style="medium"/>
      <bottom/>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style="thin"/>
      <right style="medium"/>
      <top/>
      <bottom/>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medium"/>
    </border>
    <border>
      <left/>
      <right/>
      <top/>
      <bottom style="medium"/>
    </border>
    <border>
      <left style="thin"/>
      <right/>
      <top/>
      <bottom/>
    </border>
    <border>
      <left style="thin"/>
      <right/>
      <top style="thin"/>
      <bottom/>
    </border>
    <border>
      <left/>
      <right style="thin"/>
      <top/>
      <bottom style="thin"/>
    </border>
    <border>
      <left/>
      <right/>
      <top/>
      <bottom style="thin"/>
    </border>
    <border>
      <left style="medium"/>
      <right style="thin"/>
      <top style="medium"/>
      <bottom style="thin"/>
    </border>
    <border>
      <left style="thin"/>
      <right/>
      <top style="thin"/>
      <bottom style="thin"/>
    </border>
    <border>
      <left/>
      <right style="thin"/>
      <top style="thin"/>
      <bottom style="thin"/>
    </border>
    <border>
      <left/>
      <right style="thin"/>
      <top style="thin"/>
      <bottom/>
    </border>
    <border>
      <left style="thin"/>
      <right/>
      <top/>
      <bottom style="thin"/>
    </border>
    <border>
      <left style="medium"/>
      <right/>
      <top/>
      <bottom/>
    </border>
    <border>
      <left/>
      <right style="medium"/>
      <top/>
      <bottom/>
    </border>
    <border>
      <left style="medium"/>
      <right style="medium"/>
      <top style="medium"/>
      <bottom/>
    </border>
    <border>
      <left style="thin"/>
      <right style="medium"/>
      <top style="medium"/>
      <bottom style="thin"/>
    </border>
    <border>
      <left/>
      <right style="medium"/>
      <top/>
      <bottom style="medium"/>
    </border>
    <border>
      <left/>
      <right style="thin"/>
      <top style="medium"/>
      <bottom style="medium"/>
    </border>
    <border>
      <left style="thin"/>
      <right/>
      <top style="medium"/>
      <bottom style="medium"/>
    </border>
    <border>
      <left style="thin"/>
      <right/>
      <top/>
      <bottom style="medium"/>
    </border>
    <border>
      <left/>
      <right style="thin"/>
      <top/>
      <bottom style="medium"/>
    </border>
    <border>
      <left style="thin"/>
      <right/>
      <top style="medium"/>
      <bottom/>
    </border>
    <border>
      <left/>
      <right style="thin"/>
      <top style="medium"/>
      <bottom/>
    </border>
    <border>
      <left style="medium"/>
      <right style="thin"/>
      <top/>
      <bottom style="thin"/>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3" fontId="8" fillId="0" borderId="0" applyFont="0" applyFill="0" applyBorder="0" applyAlignment="0" applyProtection="0"/>
    <xf numFmtId="0" fontId="9" fillId="0" borderId="0" applyNumberFormat="0" applyFill="0" applyBorder="0" applyAlignment="0" applyProtection="0"/>
    <xf numFmtId="8" fontId="10" fillId="0" borderId="3" applyFont="0" applyBorder="0" applyAlignment="0">
      <protection/>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44" fontId="47" fillId="0" borderId="0" applyFont="0" applyFill="0" applyBorder="0" applyAlignment="0" applyProtection="0"/>
    <xf numFmtId="168" fontId="0" fillId="0" borderId="0" applyFont="0" applyFill="0" applyBorder="0" applyAlignment="0" applyProtection="0"/>
    <xf numFmtId="44" fontId="47" fillId="0" borderId="0" applyFont="0" applyFill="0" applyBorder="0" applyAlignment="0" applyProtection="0"/>
    <xf numFmtId="166" fontId="8" fillId="0" borderId="0" applyFont="0" applyFill="0" applyBorder="0" applyAlignment="0" applyProtection="0"/>
    <xf numFmtId="0" fontId="8" fillId="0" borderId="0" applyFont="0" applyFill="0" applyBorder="0" applyAlignment="0" applyProtection="0"/>
    <xf numFmtId="0" fontId="11" fillId="0" borderId="0" applyNumberFormat="0" applyFill="0" applyBorder="0" applyAlignment="0" applyProtection="0"/>
    <xf numFmtId="2" fontId="8" fillId="0" borderId="0" applyFont="0" applyFill="0" applyBorder="0" applyAlignment="0" applyProtection="0"/>
    <xf numFmtId="0" fontId="12" fillId="4"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2" fillId="0" borderId="0">
      <alignment horizontal="left" vertical="center"/>
      <protection/>
    </xf>
    <xf numFmtId="0" fontId="17" fillId="0" borderId="7" applyNumberFormat="0" applyFill="0" applyAlignment="0" applyProtection="0"/>
    <xf numFmtId="0" fontId="18"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37" fillId="0" borderId="0" applyAlignment="0">
      <protection locked="0"/>
    </xf>
    <xf numFmtId="0" fontId="0" fillId="0" borderId="0">
      <alignment/>
      <protection/>
    </xf>
    <xf numFmtId="0" fontId="0" fillId="0" borderId="0">
      <alignment/>
      <protection/>
    </xf>
    <xf numFmtId="0" fontId="48" fillId="0" borderId="0">
      <alignment/>
      <protection/>
    </xf>
    <xf numFmtId="0" fontId="47" fillId="0" borderId="0">
      <alignment/>
      <protection/>
    </xf>
    <xf numFmtId="0" fontId="47"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19" fillId="0" borderId="0">
      <alignment horizontal="right"/>
      <protection/>
    </xf>
    <xf numFmtId="3" fontId="19" fillId="0" borderId="8">
      <alignment/>
      <protection/>
    </xf>
    <xf numFmtId="3" fontId="19" fillId="0" borderId="9">
      <alignment/>
      <protection/>
    </xf>
    <xf numFmtId="0" fontId="20" fillId="0" borderId="0">
      <alignment horizontal="left"/>
      <protection/>
    </xf>
    <xf numFmtId="3" fontId="19" fillId="0" borderId="10">
      <alignment horizontal="right"/>
      <protection/>
    </xf>
    <xf numFmtId="3" fontId="19" fillId="0" borderId="11">
      <alignment/>
      <protection/>
    </xf>
    <xf numFmtId="0" fontId="0" fillId="23" borderId="12" applyNumberFormat="0" applyFont="0" applyAlignment="0" applyProtection="0"/>
    <xf numFmtId="3" fontId="2" fillId="0" borderId="0">
      <alignment horizontal="right"/>
      <protection/>
    </xf>
    <xf numFmtId="0" fontId="21" fillId="20" borderId="13" applyNumberFormat="0" applyAlignment="0" applyProtection="0"/>
    <xf numFmtId="40" fontId="22" fillId="24" borderId="0">
      <alignment horizontal="right"/>
      <protection/>
    </xf>
    <xf numFmtId="0" fontId="23" fillId="24" borderId="0">
      <alignment horizontal="right"/>
      <protection/>
    </xf>
    <xf numFmtId="0" fontId="24" fillId="24" borderId="14">
      <alignment/>
      <protection/>
    </xf>
    <xf numFmtId="0" fontId="24" fillId="0" borderId="0" applyBorder="0">
      <alignment horizontal="centerContinuous"/>
      <protection/>
    </xf>
    <xf numFmtId="0" fontId="25" fillId="0" borderId="0" applyBorder="0">
      <alignment horizontal="centerContinuous"/>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20" fillId="25" borderId="15">
      <alignment horizontal="right"/>
      <protection/>
    </xf>
    <xf numFmtId="3" fontId="20" fillId="25" borderId="8">
      <alignment/>
      <protection/>
    </xf>
    <xf numFmtId="3" fontId="19" fillId="25" borderId="0">
      <alignment horizontal="right"/>
      <protection/>
    </xf>
    <xf numFmtId="3" fontId="19" fillId="25" borderId="16">
      <alignment/>
      <protection/>
    </xf>
    <xf numFmtId="0" fontId="20" fillId="25" borderId="0">
      <alignment horizontal="right"/>
      <protection/>
    </xf>
    <xf numFmtId="3" fontId="20" fillId="25" borderId="17">
      <alignment/>
      <protection/>
    </xf>
    <xf numFmtId="0" fontId="26" fillId="0" borderId="0" applyNumberFormat="0" applyFill="0" applyBorder="0" applyAlignment="0" applyProtection="0"/>
    <xf numFmtId="0" fontId="27" fillId="0" borderId="18" applyNumberFormat="0" applyFill="0" applyAlignment="0" applyProtection="0"/>
    <xf numFmtId="0" fontId="28" fillId="0" borderId="0" applyNumberFormat="0" applyFill="0" applyBorder="0" applyAlignment="0" applyProtection="0"/>
  </cellStyleXfs>
  <cellXfs count="460">
    <xf numFmtId="0" fontId="0" fillId="0" borderId="0" xfId="0" applyAlignment="1">
      <alignment/>
    </xf>
    <xf numFmtId="44" fontId="0" fillId="0" borderId="0" xfId="55" applyFont="1" applyAlignment="1">
      <alignment/>
    </xf>
    <xf numFmtId="44" fontId="0" fillId="0" borderId="0" xfId="0" applyNumberFormat="1" applyAlignment="1">
      <alignment/>
    </xf>
    <xf numFmtId="10" fontId="0" fillId="0" borderId="0" xfId="105" applyNumberFormat="1" applyFont="1" applyAlignment="1">
      <alignment/>
    </xf>
    <xf numFmtId="0" fontId="0" fillId="0" borderId="0" xfId="0" applyFill="1" applyAlignment="1">
      <alignment/>
    </xf>
    <xf numFmtId="0" fontId="3" fillId="0" borderId="0" xfId="0" applyFont="1" applyAlignment="1">
      <alignment/>
    </xf>
    <xf numFmtId="44" fontId="3" fillId="0" borderId="0" xfId="55" applyFont="1" applyAlignment="1">
      <alignment/>
    </xf>
    <xf numFmtId="2" fontId="0" fillId="0" borderId="0" xfId="0" applyNumberFormat="1" applyAlignment="1">
      <alignment/>
    </xf>
    <xf numFmtId="0" fontId="3" fillId="0" borderId="0" xfId="0" applyFont="1" applyAlignment="1">
      <alignment wrapText="1"/>
    </xf>
    <xf numFmtId="164" fontId="0" fillId="0" borderId="0" xfId="0" applyNumberFormat="1" applyAlignment="1">
      <alignment/>
    </xf>
    <xf numFmtId="0" fontId="0" fillId="0" borderId="0" xfId="0" applyBorder="1" applyAlignment="1">
      <alignment/>
    </xf>
    <xf numFmtId="44" fontId="3" fillId="0" borderId="19" xfId="55" applyFont="1" applyBorder="1" applyAlignment="1">
      <alignment/>
    </xf>
    <xf numFmtId="2" fontId="3" fillId="0" borderId="0" xfId="0" applyNumberFormat="1" applyFont="1" applyAlignment="1">
      <alignment/>
    </xf>
    <xf numFmtId="1" fontId="0" fillId="0" borderId="0" xfId="0" applyNumberFormat="1" applyAlignment="1">
      <alignment/>
    </xf>
    <xf numFmtId="0" fontId="3" fillId="0" borderId="20" xfId="0" applyFont="1" applyBorder="1" applyAlignment="1">
      <alignment/>
    </xf>
    <xf numFmtId="0" fontId="3" fillId="26" borderId="19" xfId="0" applyFont="1" applyFill="1" applyBorder="1" applyAlignment="1">
      <alignment/>
    </xf>
    <xf numFmtId="0" fontId="0" fillId="0" borderId="21" xfId="0" applyBorder="1" applyAlignment="1">
      <alignment/>
    </xf>
    <xf numFmtId="44" fontId="0" fillId="0" borderId="21" xfId="0" applyNumberFormat="1" applyBorder="1" applyAlignment="1">
      <alignment/>
    </xf>
    <xf numFmtId="164" fontId="0" fillId="0" borderId="21" xfId="0" applyNumberFormat="1" applyBorder="1" applyAlignment="1">
      <alignment/>
    </xf>
    <xf numFmtId="44" fontId="0" fillId="0" borderId="21" xfId="55" applyFont="1" applyBorder="1" applyAlignment="1">
      <alignment/>
    </xf>
    <xf numFmtId="0" fontId="0" fillId="0" borderId="22" xfId="0" applyBorder="1" applyAlignment="1">
      <alignment/>
    </xf>
    <xf numFmtId="44" fontId="0" fillId="0" borderId="22" xfId="0" applyNumberFormat="1" applyBorder="1" applyAlignment="1">
      <alignment/>
    </xf>
    <xf numFmtId="164" fontId="0" fillId="0" borderId="22" xfId="0" applyNumberFormat="1" applyBorder="1" applyAlignment="1">
      <alignment/>
    </xf>
    <xf numFmtId="44" fontId="0" fillId="0" borderId="22" xfId="55" applyFont="1" applyBorder="1" applyAlignment="1">
      <alignment/>
    </xf>
    <xf numFmtId="0" fontId="0" fillId="0" borderId="23" xfId="0" applyBorder="1" applyAlignment="1">
      <alignment/>
    </xf>
    <xf numFmtId="44" fontId="0" fillId="0" borderId="23" xfId="0" applyNumberFormat="1" applyBorder="1" applyAlignment="1">
      <alignment/>
    </xf>
    <xf numFmtId="164" fontId="0" fillId="0" borderId="23" xfId="0" applyNumberFormat="1" applyBorder="1" applyAlignment="1">
      <alignment/>
    </xf>
    <xf numFmtId="44" fontId="0" fillId="0" borderId="23" xfId="55" applyFont="1" applyBorder="1" applyAlignment="1">
      <alignment/>
    </xf>
    <xf numFmtId="0" fontId="3" fillId="0" borderId="23" xfId="0" applyFont="1" applyBorder="1" applyAlignment="1">
      <alignment/>
    </xf>
    <xf numFmtId="164" fontId="3" fillId="0" borderId="23" xfId="0" applyNumberFormat="1" applyFont="1" applyBorder="1" applyAlignment="1">
      <alignment/>
    </xf>
    <xf numFmtId="44" fontId="3" fillId="0" borderId="23" xfId="55" applyFont="1" applyBorder="1" applyAlignment="1">
      <alignment/>
    </xf>
    <xf numFmtId="0" fontId="3" fillId="0" borderId="24" xfId="0" applyFont="1" applyBorder="1" applyAlignment="1">
      <alignment/>
    </xf>
    <xf numFmtId="44" fontId="3" fillId="0" borderId="24" xfId="55" applyFont="1" applyBorder="1" applyAlignment="1">
      <alignment/>
    </xf>
    <xf numFmtId="10" fontId="0" fillId="0" borderId="22" xfId="105" applyNumberFormat="1" applyFont="1" applyBorder="1" applyAlignment="1">
      <alignment/>
    </xf>
    <xf numFmtId="44" fontId="0" fillId="0" borderId="25" xfId="0" applyNumberFormat="1" applyFill="1" applyBorder="1" applyAlignment="1">
      <alignment/>
    </xf>
    <xf numFmtId="44" fontId="0" fillId="0" borderId="20" xfId="0" applyNumberFormat="1" applyFill="1" applyBorder="1" applyAlignment="1">
      <alignment/>
    </xf>
    <xf numFmtId="44" fontId="3" fillId="0" borderId="26" xfId="55" applyFont="1" applyBorder="1" applyAlignment="1">
      <alignment/>
    </xf>
    <xf numFmtId="0" fontId="0" fillId="0" borderId="27" xfId="0" applyNumberFormat="1" applyBorder="1" applyAlignment="1">
      <alignment/>
    </xf>
    <xf numFmtId="0" fontId="3" fillId="27" borderId="28" xfId="0" applyFont="1" applyFill="1" applyBorder="1" applyAlignment="1">
      <alignment wrapText="1"/>
    </xf>
    <xf numFmtId="0" fontId="3" fillId="27" borderId="29" xfId="0" applyFont="1" applyFill="1" applyBorder="1" applyAlignment="1">
      <alignment wrapText="1"/>
    </xf>
    <xf numFmtId="0" fontId="3" fillId="27" borderId="30" xfId="0" applyFont="1" applyFill="1" applyBorder="1" applyAlignment="1">
      <alignment wrapText="1"/>
    </xf>
    <xf numFmtId="44" fontId="3" fillId="4" borderId="26" xfId="55" applyFont="1" applyFill="1" applyBorder="1" applyAlignment="1">
      <alignment/>
    </xf>
    <xf numFmtId="44" fontId="0" fillId="4" borderId="26" xfId="55" applyFont="1" applyFill="1" applyBorder="1" applyAlignment="1">
      <alignment/>
    </xf>
    <xf numFmtId="44" fontId="0" fillId="4" borderId="31" xfId="55" applyFont="1" applyFill="1" applyBorder="1" applyAlignment="1">
      <alignment/>
    </xf>
    <xf numFmtId="44" fontId="0" fillId="4" borderId="32" xfId="55" applyFont="1" applyFill="1" applyBorder="1" applyAlignment="1">
      <alignment/>
    </xf>
    <xf numFmtId="0" fontId="0" fillId="4" borderId="32" xfId="0" applyFill="1" applyBorder="1" applyAlignment="1">
      <alignment/>
    </xf>
    <xf numFmtId="10" fontId="0" fillId="4" borderId="32" xfId="105" applyNumberFormat="1" applyFont="1" applyFill="1" applyBorder="1" applyAlignment="1">
      <alignment/>
    </xf>
    <xf numFmtId="0" fontId="0" fillId="4" borderId="33" xfId="0" applyFill="1" applyBorder="1" applyAlignment="1">
      <alignment/>
    </xf>
    <xf numFmtId="44" fontId="0" fillId="4" borderId="32" xfId="0" applyNumberFormat="1" applyFill="1" applyBorder="1" applyAlignment="1">
      <alignment/>
    </xf>
    <xf numFmtId="44" fontId="0" fillId="4" borderId="34" xfId="55" applyFont="1" applyFill="1" applyBorder="1" applyAlignment="1">
      <alignment/>
    </xf>
    <xf numFmtId="0" fontId="0" fillId="20" borderId="24" xfId="0" applyFill="1" applyBorder="1" applyAlignment="1">
      <alignment/>
    </xf>
    <xf numFmtId="0" fontId="3" fillId="20" borderId="24" xfId="0" applyFont="1" applyFill="1" applyBorder="1" applyAlignment="1">
      <alignment/>
    </xf>
    <xf numFmtId="0" fontId="3" fillId="26" borderId="35" xfId="0" applyFont="1" applyFill="1" applyBorder="1" applyAlignment="1">
      <alignment/>
    </xf>
    <xf numFmtId="0" fontId="3" fillId="26" borderId="36" xfId="0" applyFont="1" applyFill="1" applyBorder="1" applyAlignment="1">
      <alignment/>
    </xf>
    <xf numFmtId="44" fontId="3" fillId="26" borderId="37" xfId="55" applyFont="1" applyFill="1" applyBorder="1" applyAlignment="1">
      <alignment/>
    </xf>
    <xf numFmtId="44" fontId="3" fillId="0" borderId="31" xfId="55" applyFont="1" applyBorder="1" applyAlignment="1">
      <alignment/>
    </xf>
    <xf numFmtId="44" fontId="3" fillId="4" borderId="34" xfId="55" applyFont="1" applyFill="1" applyBorder="1" applyAlignment="1">
      <alignment/>
    </xf>
    <xf numFmtId="164" fontId="0" fillId="0" borderId="24" xfId="0" applyNumberFormat="1" applyBorder="1" applyAlignment="1">
      <alignment/>
    </xf>
    <xf numFmtId="44" fontId="0" fillId="0" borderId="27" xfId="55" applyNumberFormat="1" applyFont="1" applyBorder="1" applyAlignment="1">
      <alignment/>
    </xf>
    <xf numFmtId="44" fontId="0" fillId="0" borderId="22" xfId="55" applyNumberFormat="1" applyFont="1" applyBorder="1" applyAlignment="1">
      <alignment/>
    </xf>
    <xf numFmtId="44" fontId="0" fillId="0" borderId="38" xfId="55" applyNumberFormat="1" applyFont="1" applyBorder="1" applyAlignment="1">
      <alignment/>
    </xf>
    <xf numFmtId="44" fontId="0" fillId="0" borderId="29" xfId="55" applyNumberFormat="1" applyFont="1" applyBorder="1" applyAlignment="1">
      <alignment/>
    </xf>
    <xf numFmtId="44" fontId="0" fillId="0" borderId="30" xfId="55" applyNumberFormat="1" applyFont="1" applyBorder="1" applyAlignment="1">
      <alignment/>
    </xf>
    <xf numFmtId="44" fontId="0" fillId="0" borderId="39" xfId="55" applyNumberFormat="1" applyFont="1" applyBorder="1" applyAlignment="1">
      <alignment/>
    </xf>
    <xf numFmtId="44" fontId="0" fillId="0" borderId="40" xfId="55" applyNumberFormat="1" applyFont="1" applyBorder="1" applyAlignment="1">
      <alignment/>
    </xf>
    <xf numFmtId="44" fontId="0" fillId="0" borderId="41" xfId="55" applyNumberFormat="1" applyFont="1" applyBorder="1" applyAlignment="1">
      <alignment/>
    </xf>
    <xf numFmtId="44" fontId="3" fillId="4" borderId="29" xfId="55" applyFont="1" applyFill="1" applyBorder="1" applyAlignment="1">
      <alignment wrapText="1"/>
    </xf>
    <xf numFmtId="0" fontId="0" fillId="0" borderId="28" xfId="0" applyNumberFormat="1" applyBorder="1" applyAlignment="1">
      <alignment/>
    </xf>
    <xf numFmtId="44" fontId="0" fillId="0" borderId="28" xfId="55" applyNumberFormat="1" applyFont="1" applyBorder="1" applyAlignment="1">
      <alignment/>
    </xf>
    <xf numFmtId="0" fontId="0" fillId="0" borderId="0" xfId="0" applyAlignment="1">
      <alignment horizontal="left"/>
    </xf>
    <xf numFmtId="0" fontId="0" fillId="0" borderId="0" xfId="15">
      <alignment/>
      <protection/>
    </xf>
    <xf numFmtId="0" fontId="30" fillId="0" borderId="0" xfId="15" applyFont="1" applyAlignment="1">
      <alignment horizontal="left"/>
      <protection/>
    </xf>
    <xf numFmtId="0" fontId="3" fillId="0" borderId="0" xfId="15" applyFont="1">
      <alignment/>
      <protection/>
    </xf>
    <xf numFmtId="0" fontId="0" fillId="0" borderId="0" xfId="15" applyFont="1">
      <alignment/>
      <protection/>
    </xf>
    <xf numFmtId="0" fontId="29" fillId="0" borderId="0" xfId="15" applyFont="1">
      <alignment/>
      <protection/>
    </xf>
    <xf numFmtId="44" fontId="0" fillId="0" borderId="0" xfId="55" applyAlignment="1">
      <alignment/>
    </xf>
    <xf numFmtId="0" fontId="3" fillId="0" borderId="0" xfId="15" applyFont="1" applyAlignment="1">
      <alignment horizontal="left"/>
      <protection/>
    </xf>
    <xf numFmtId="0" fontId="3" fillId="0" borderId="35" xfId="15" applyFont="1" applyBorder="1">
      <alignment/>
      <protection/>
    </xf>
    <xf numFmtId="0" fontId="3" fillId="0" borderId="36" xfId="15" applyFont="1" applyBorder="1">
      <alignment/>
      <protection/>
    </xf>
    <xf numFmtId="0" fontId="3" fillId="20" borderId="24" xfId="0" applyFont="1" applyFill="1" applyBorder="1" applyAlignment="1">
      <alignment horizontal="left"/>
    </xf>
    <xf numFmtId="0" fontId="0" fillId="0" borderId="24" xfId="0" applyBorder="1" applyAlignment="1">
      <alignment horizontal="left" wrapText="1"/>
    </xf>
    <xf numFmtId="0" fontId="0" fillId="0" borderId="0" xfId="0" applyAlignment="1">
      <alignment horizontal="left" wrapText="1"/>
    </xf>
    <xf numFmtId="165" fontId="0" fillId="0" borderId="24" xfId="0" applyNumberFormat="1" applyBorder="1" applyAlignment="1">
      <alignment horizontal="left" wrapText="1"/>
    </xf>
    <xf numFmtId="0" fontId="0" fillId="0" borderId="0" xfId="0" applyAlignment="1">
      <alignment vertical="top"/>
    </xf>
    <xf numFmtId="0" fontId="3" fillId="0" borderId="0" xfId="0" applyFont="1" applyAlignment="1">
      <alignment vertical="top"/>
    </xf>
    <xf numFmtId="0" fontId="3" fillId="0" borderId="28" xfId="0" applyFont="1" applyBorder="1" applyAlignment="1">
      <alignment vertical="top"/>
    </xf>
    <xf numFmtId="0" fontId="3" fillId="0" borderId="42" xfId="0" applyFont="1" applyBorder="1" applyAlignment="1">
      <alignment vertical="top"/>
    </xf>
    <xf numFmtId="0" fontId="3" fillId="0" borderId="43" xfId="0" applyFont="1" applyBorder="1" applyAlignment="1">
      <alignment vertical="top" wrapText="1"/>
    </xf>
    <xf numFmtId="0" fontId="3" fillId="0" borderId="44" xfId="0" applyFont="1" applyBorder="1" applyAlignment="1">
      <alignment vertical="top"/>
    </xf>
    <xf numFmtId="0" fontId="3" fillId="0" borderId="45" xfId="0" applyFont="1" applyBorder="1" applyAlignment="1">
      <alignment vertical="top" wrapText="1"/>
    </xf>
    <xf numFmtId="167" fontId="3" fillId="0" borderId="46" xfId="55" applyNumberFormat="1" applyFont="1" applyBorder="1" applyAlignment="1">
      <alignment/>
    </xf>
    <xf numFmtId="44" fontId="0" fillId="0" borderId="25" xfId="55" applyNumberFormat="1" applyFont="1" applyBorder="1" applyAlignment="1">
      <alignment/>
    </xf>
    <xf numFmtId="44" fontId="0" fillId="0" borderId="20" xfId="55" applyNumberFormat="1" applyFont="1" applyBorder="1" applyAlignment="1">
      <alignment/>
    </xf>
    <xf numFmtId="0" fontId="0" fillId="0" borderId="0" xfId="0" applyFill="1" applyBorder="1" applyAlignment="1">
      <alignment/>
    </xf>
    <xf numFmtId="0" fontId="32" fillId="0" borderId="0" xfId="15" applyFont="1" applyFill="1" applyBorder="1">
      <alignment/>
      <protection/>
    </xf>
    <xf numFmtId="0" fontId="32" fillId="0" borderId="0" xfId="15" applyFont="1" applyBorder="1">
      <alignment/>
      <protection/>
    </xf>
    <xf numFmtId="0" fontId="0" fillId="0" borderId="0" xfId="0" applyBorder="1" applyAlignment="1">
      <alignment vertical="top"/>
    </xf>
    <xf numFmtId="44" fontId="3" fillId="26" borderId="25" xfId="55" applyNumberFormat="1" applyFont="1" applyFill="1" applyBorder="1" applyAlignment="1">
      <alignment/>
    </xf>
    <xf numFmtId="44" fontId="3" fillId="26" borderId="20" xfId="55" applyNumberFormat="1" applyFont="1" applyFill="1" applyBorder="1" applyAlignment="1">
      <alignment/>
    </xf>
    <xf numFmtId="1" fontId="33" fillId="0" borderId="0" xfId="0" applyNumberFormat="1" applyFont="1" applyAlignment="1">
      <alignment/>
    </xf>
    <xf numFmtId="0" fontId="33" fillId="0" borderId="0" xfId="15" applyFont="1" applyAlignment="1">
      <alignment horizontal="left"/>
      <protection/>
    </xf>
    <xf numFmtId="0" fontId="33" fillId="0" borderId="0" xfId="0" applyFont="1" applyAlignment="1">
      <alignment/>
    </xf>
    <xf numFmtId="0" fontId="0" fillId="0" borderId="0" xfId="0" applyFont="1" applyBorder="1" applyAlignment="1">
      <alignment/>
    </xf>
    <xf numFmtId="44" fontId="3" fillId="4" borderId="30" xfId="55" applyFont="1" applyFill="1" applyBorder="1" applyAlignment="1">
      <alignment wrapText="1"/>
    </xf>
    <xf numFmtId="1" fontId="0" fillId="0" borderId="22" xfId="0" applyNumberFormat="1" applyBorder="1" applyAlignment="1">
      <alignment/>
    </xf>
    <xf numFmtId="0" fontId="31" fillId="0" borderId="0" xfId="0" applyFont="1" applyAlignment="1">
      <alignment vertical="top"/>
    </xf>
    <xf numFmtId="0" fontId="3" fillId="26" borderId="30" xfId="0" applyFont="1" applyFill="1" applyBorder="1" applyAlignment="1">
      <alignment wrapText="1"/>
    </xf>
    <xf numFmtId="2" fontId="3" fillId="20" borderId="28" xfId="0" applyNumberFormat="1" applyFont="1" applyFill="1" applyBorder="1" applyAlignment="1">
      <alignment wrapText="1"/>
    </xf>
    <xf numFmtId="8" fontId="3" fillId="4" borderId="46" xfId="55" applyNumberFormat="1" applyFont="1" applyFill="1" applyBorder="1" applyAlignment="1">
      <alignment/>
    </xf>
    <xf numFmtId="0" fontId="32" fillId="0" borderId="32" xfId="15" applyFont="1" applyBorder="1">
      <alignment/>
      <protection/>
    </xf>
    <xf numFmtId="0" fontId="0" fillId="0" borderId="32" xfId="0" applyBorder="1" applyAlignment="1">
      <alignment/>
    </xf>
    <xf numFmtId="0" fontId="0" fillId="0" borderId="47" xfId="0" applyBorder="1" applyAlignment="1">
      <alignment/>
    </xf>
    <xf numFmtId="0" fontId="36" fillId="0" borderId="0" xfId="0" applyFont="1" applyAlignment="1">
      <alignment/>
    </xf>
    <xf numFmtId="0" fontId="0" fillId="0" borderId="48" xfId="0" applyBorder="1" applyAlignment="1">
      <alignment/>
    </xf>
    <xf numFmtId="0" fontId="0" fillId="0" borderId="39" xfId="0" applyNumberFormat="1" applyBorder="1" applyAlignment="1">
      <alignment/>
    </xf>
    <xf numFmtId="0" fontId="0" fillId="0" borderId="0" xfId="0" applyFont="1" applyBorder="1" applyAlignment="1">
      <alignment/>
    </xf>
    <xf numFmtId="44" fontId="0" fillId="0" borderId="27" xfId="55" applyFont="1" applyBorder="1" applyAlignment="1">
      <alignment/>
    </xf>
    <xf numFmtId="44" fontId="0" fillId="0" borderId="39" xfId="55" applyFont="1" applyBorder="1" applyAlignment="1">
      <alignment/>
    </xf>
    <xf numFmtId="0" fontId="3" fillId="28" borderId="46" xfId="0" applyFont="1" applyFill="1" applyBorder="1" applyAlignment="1">
      <alignment wrapText="1"/>
    </xf>
    <xf numFmtId="0" fontId="3" fillId="28" borderId="26" xfId="0" applyFont="1" applyFill="1" applyBorder="1" applyAlignment="1">
      <alignment wrapText="1"/>
    </xf>
    <xf numFmtId="0" fontId="3" fillId="28" borderId="31" xfId="0" applyFont="1" applyFill="1" applyBorder="1" applyAlignment="1">
      <alignment wrapText="1"/>
    </xf>
    <xf numFmtId="44" fontId="0" fillId="0" borderId="40" xfId="55" applyFont="1" applyBorder="1" applyAlignment="1">
      <alignment/>
    </xf>
    <xf numFmtId="0" fontId="0" fillId="0" borderId="0" xfId="0" applyFont="1" applyFill="1" applyBorder="1" applyAlignment="1">
      <alignment/>
    </xf>
    <xf numFmtId="0" fontId="0" fillId="0" borderId="24" xfId="0" applyBorder="1" applyAlignment="1">
      <alignment horizontal="left"/>
    </xf>
    <xf numFmtId="0" fontId="0" fillId="0" borderId="0" xfId="0" applyBorder="1" applyAlignment="1">
      <alignment wrapText="1"/>
    </xf>
    <xf numFmtId="0" fontId="0" fillId="0" borderId="9" xfId="0" applyBorder="1" applyAlignment="1">
      <alignment/>
    </xf>
    <xf numFmtId="0" fontId="0" fillId="0" borderId="49" xfId="0" applyBorder="1" applyAlignment="1">
      <alignment/>
    </xf>
    <xf numFmtId="0" fontId="0" fillId="0" borderId="14" xfId="0" applyBorder="1" applyAlignment="1">
      <alignment/>
    </xf>
    <xf numFmtId="0" fontId="0" fillId="0" borderId="14" xfId="0" applyFill="1" applyBorder="1" applyAlignment="1">
      <alignment/>
    </xf>
    <xf numFmtId="0" fontId="0" fillId="0" borderId="50" xfId="0" applyBorder="1" applyAlignment="1">
      <alignment/>
    </xf>
    <xf numFmtId="0" fontId="0" fillId="0" borderId="51" xfId="0" applyBorder="1" applyAlignment="1">
      <alignment/>
    </xf>
    <xf numFmtId="0" fontId="3" fillId="0" borderId="52" xfId="0" applyFont="1" applyBorder="1" applyAlignment="1">
      <alignment vertical="top"/>
    </xf>
    <xf numFmtId="0" fontId="0" fillId="0" borderId="22" xfId="0" applyFont="1" applyBorder="1" applyAlignment="1">
      <alignment/>
    </xf>
    <xf numFmtId="44" fontId="0" fillId="0" borderId="0" xfId="55" applyFont="1" applyBorder="1" applyAlignment="1">
      <alignment/>
    </xf>
    <xf numFmtId="0" fontId="0" fillId="0" borderId="23" xfId="0" applyFont="1" applyBorder="1" applyAlignment="1">
      <alignment/>
    </xf>
    <xf numFmtId="44" fontId="0" fillId="0" borderId="22" xfId="55" applyFont="1" applyFill="1" applyBorder="1" applyAlignment="1">
      <alignment/>
    </xf>
    <xf numFmtId="0" fontId="49" fillId="0" borderId="0" xfId="0" applyFont="1" applyBorder="1" applyAlignment="1">
      <alignment/>
    </xf>
    <xf numFmtId="0" fontId="50" fillId="0" borderId="0" xfId="0" applyFont="1" applyBorder="1" applyAlignment="1">
      <alignment/>
    </xf>
    <xf numFmtId="0" fontId="51" fillId="0" borderId="0" xfId="0" applyFont="1" applyBorder="1" applyAlignment="1">
      <alignment/>
    </xf>
    <xf numFmtId="44" fontId="51" fillId="0" borderId="0" xfId="55" applyFont="1" applyBorder="1" applyAlignment="1">
      <alignment/>
    </xf>
    <xf numFmtId="0" fontId="52" fillId="0" borderId="0" xfId="0" applyFont="1" applyBorder="1" applyAlignment="1">
      <alignment/>
    </xf>
    <xf numFmtId="44" fontId="51" fillId="0" borderId="19" xfId="55" applyFont="1" applyBorder="1" applyAlignment="1">
      <alignment/>
    </xf>
    <xf numFmtId="0" fontId="0" fillId="0" borderId="53" xfId="0" applyBorder="1" applyAlignment="1">
      <alignment/>
    </xf>
    <xf numFmtId="0" fontId="0" fillId="0" borderId="54" xfId="0" applyBorder="1" applyAlignment="1">
      <alignment/>
    </xf>
    <xf numFmtId="0" fontId="51" fillId="0" borderId="55" xfId="0" applyFont="1" applyBorder="1" applyAlignment="1">
      <alignment/>
    </xf>
    <xf numFmtId="0" fontId="51" fillId="0" borderId="49" xfId="0" applyFont="1" applyBorder="1" applyAlignment="1">
      <alignment/>
    </xf>
    <xf numFmtId="9" fontId="0" fillId="0" borderId="55" xfId="0" applyNumberFormat="1" applyBorder="1" applyAlignment="1">
      <alignment/>
    </xf>
    <xf numFmtId="9" fontId="0" fillId="0" borderId="14" xfId="0" applyNumberFormat="1" applyBorder="1" applyAlignment="1">
      <alignment/>
    </xf>
    <xf numFmtId="44" fontId="0" fillId="0" borderId="9" xfId="55" applyFont="1" applyBorder="1" applyAlignment="1">
      <alignment/>
    </xf>
    <xf numFmtId="0" fontId="0" fillId="0" borderId="56" xfId="0" applyBorder="1" applyAlignment="1">
      <alignment/>
    </xf>
    <xf numFmtId="0" fontId="51" fillId="0" borderId="50" xfId="0" applyFont="1" applyBorder="1" applyAlignment="1">
      <alignment/>
    </xf>
    <xf numFmtId="0" fontId="51" fillId="0" borderId="56" xfId="0" applyFont="1" applyBorder="1" applyAlignment="1">
      <alignment/>
    </xf>
    <xf numFmtId="44" fontId="0" fillId="0" borderId="50" xfId="55" applyFont="1" applyBorder="1" applyAlignment="1">
      <alignment/>
    </xf>
    <xf numFmtId="44" fontId="0" fillId="0" borderId="51" xfId="0" applyNumberFormat="1" applyBorder="1" applyAlignment="1">
      <alignment/>
    </xf>
    <xf numFmtId="44" fontId="0" fillId="0" borderId="51" xfId="55" applyFont="1" applyBorder="1" applyAlignment="1">
      <alignment/>
    </xf>
    <xf numFmtId="0" fontId="0" fillId="0" borderId="53" xfId="0" applyBorder="1" applyAlignment="1">
      <alignment wrapText="1"/>
    </xf>
    <xf numFmtId="0" fontId="0" fillId="0" borderId="54" xfId="0" applyBorder="1" applyAlignment="1">
      <alignment wrapText="1"/>
    </xf>
    <xf numFmtId="0" fontId="0" fillId="0" borderId="24" xfId="0" applyBorder="1" applyAlignment="1">
      <alignment wrapText="1"/>
    </xf>
    <xf numFmtId="0" fontId="51" fillId="0" borderId="24" xfId="0" applyFont="1" applyBorder="1" applyAlignment="1">
      <alignment wrapText="1"/>
    </xf>
    <xf numFmtId="0" fontId="51" fillId="0" borderId="0" xfId="0" applyFont="1" applyBorder="1" applyAlignment="1">
      <alignment wrapText="1"/>
    </xf>
    <xf numFmtId="44" fontId="51" fillId="0" borderId="24" xfId="55" applyFont="1" applyBorder="1" applyAlignment="1">
      <alignment wrapText="1"/>
    </xf>
    <xf numFmtId="0" fontId="50" fillId="0" borderId="22" xfId="0" applyFont="1" applyBorder="1" applyAlignment="1">
      <alignment/>
    </xf>
    <xf numFmtId="0" fontId="51" fillId="0" borderId="22" xfId="0" applyFont="1" applyBorder="1" applyAlignment="1">
      <alignment/>
    </xf>
    <xf numFmtId="44" fontId="0" fillId="0" borderId="48" xfId="0" applyNumberFormat="1" applyFont="1" applyBorder="1" applyAlignment="1">
      <alignment/>
    </xf>
    <xf numFmtId="44" fontId="51" fillId="0" borderId="22" xfId="0" applyNumberFormat="1" applyFont="1" applyBorder="1" applyAlignment="1">
      <alignment/>
    </xf>
    <xf numFmtId="44" fontId="51" fillId="0" borderId="22" xfId="55" applyFont="1" applyBorder="1" applyAlignment="1">
      <alignment/>
    </xf>
    <xf numFmtId="0" fontId="0" fillId="0" borderId="48" xfId="0" applyFont="1" applyBorder="1" applyAlignment="1">
      <alignment/>
    </xf>
    <xf numFmtId="0" fontId="0" fillId="0" borderId="48" xfId="0" applyBorder="1" applyAlignment="1">
      <alignment horizontal="left"/>
    </xf>
    <xf numFmtId="0" fontId="0" fillId="0" borderId="0" xfId="0" applyBorder="1" applyAlignment="1">
      <alignment horizontal="left"/>
    </xf>
    <xf numFmtId="0" fontId="51" fillId="0" borderId="48" xfId="0" applyFont="1" applyBorder="1" applyAlignment="1">
      <alignment horizontal="left"/>
    </xf>
    <xf numFmtId="0" fontId="51" fillId="0" borderId="14" xfId="0" applyFont="1" applyFill="1" applyBorder="1" applyAlignment="1">
      <alignment/>
    </xf>
    <xf numFmtId="0" fontId="51" fillId="0" borderId="0" xfId="0" applyFont="1" applyFill="1" applyBorder="1" applyAlignment="1">
      <alignment/>
    </xf>
    <xf numFmtId="0" fontId="51" fillId="0" borderId="48" xfId="0" applyFont="1" applyBorder="1" applyAlignment="1">
      <alignment/>
    </xf>
    <xf numFmtId="1" fontId="51" fillId="0" borderId="22" xfId="0" applyNumberFormat="1" applyFont="1" applyBorder="1" applyAlignment="1">
      <alignment/>
    </xf>
    <xf numFmtId="0" fontId="0" fillId="0" borderId="56" xfId="0" applyBorder="1" applyAlignment="1">
      <alignment horizontal="left"/>
    </xf>
    <xf numFmtId="0" fontId="0" fillId="0" borderId="50" xfId="0" applyFill="1" applyBorder="1" applyAlignment="1">
      <alignment/>
    </xf>
    <xf numFmtId="0" fontId="50" fillId="0" borderId="23" xfId="0" applyFont="1" applyBorder="1" applyAlignment="1">
      <alignment/>
    </xf>
    <xf numFmtId="0" fontId="51" fillId="0" borderId="23" xfId="0" applyFont="1" applyBorder="1" applyAlignment="1">
      <alignment/>
    </xf>
    <xf numFmtId="0" fontId="0" fillId="0" borderId="56" xfId="0" applyFont="1" applyBorder="1" applyAlignment="1">
      <alignment/>
    </xf>
    <xf numFmtId="1" fontId="0" fillId="0" borderId="23" xfId="0" applyNumberFormat="1" applyBorder="1" applyAlignment="1">
      <alignment/>
    </xf>
    <xf numFmtId="44" fontId="51" fillId="0" borderId="23" xfId="0" applyNumberFormat="1" applyFont="1" applyBorder="1" applyAlignment="1">
      <alignment/>
    </xf>
    <xf numFmtId="44" fontId="51" fillId="0" borderId="23" xfId="55" applyFont="1" applyBorder="1" applyAlignment="1">
      <alignment/>
    </xf>
    <xf numFmtId="0" fontId="0" fillId="0" borderId="0" xfId="0" applyFont="1" applyBorder="1" applyAlignment="1">
      <alignment/>
    </xf>
    <xf numFmtId="1" fontId="0" fillId="0" borderId="0" xfId="0" applyNumberFormat="1" applyBorder="1" applyAlignment="1">
      <alignment/>
    </xf>
    <xf numFmtId="44" fontId="0" fillId="0" borderId="0" xfId="0" applyNumberFormat="1" applyBorder="1" applyAlignment="1">
      <alignment/>
    </xf>
    <xf numFmtId="44" fontId="51" fillId="0" borderId="0" xfId="0" applyNumberFormat="1" applyFont="1" applyBorder="1" applyAlignment="1">
      <alignment/>
    </xf>
    <xf numFmtId="44" fontId="51" fillId="0" borderId="0" xfId="0" applyNumberFormat="1" applyFont="1" applyFill="1" applyBorder="1" applyAlignment="1">
      <alignment/>
    </xf>
    <xf numFmtId="0" fontId="0" fillId="0" borderId="21" xfId="0" applyFont="1" applyBorder="1" applyAlignment="1">
      <alignment/>
    </xf>
    <xf numFmtId="44" fontId="3" fillId="4" borderId="46" xfId="55" applyFont="1" applyFill="1" applyBorder="1" applyAlignment="1">
      <alignment wrapText="1"/>
    </xf>
    <xf numFmtId="44" fontId="3" fillId="4" borderId="26" xfId="55" applyFont="1" applyFill="1" applyBorder="1" applyAlignment="1">
      <alignment wrapText="1"/>
    </xf>
    <xf numFmtId="44" fontId="3" fillId="4" borderId="31" xfId="55" applyFont="1" applyFill="1" applyBorder="1" applyAlignment="1">
      <alignment wrapText="1"/>
    </xf>
    <xf numFmtId="0" fontId="3" fillId="4" borderId="19" xfId="0" applyFont="1" applyFill="1" applyBorder="1" applyAlignment="1">
      <alignment wrapText="1"/>
    </xf>
    <xf numFmtId="10" fontId="0" fillId="0" borderId="40" xfId="105" applyNumberFormat="1" applyFont="1" applyBorder="1" applyAlignment="1">
      <alignment/>
    </xf>
    <xf numFmtId="0" fontId="3" fillId="0" borderId="57" xfId="0" applyFont="1" applyBorder="1" applyAlignment="1">
      <alignment vertical="top"/>
    </xf>
    <xf numFmtId="0" fontId="3" fillId="0" borderId="58" xfId="0" applyFont="1" applyBorder="1" applyAlignment="1">
      <alignment vertical="top" wrapText="1"/>
    </xf>
    <xf numFmtId="44" fontId="0" fillId="0" borderId="24" xfId="105" applyNumberFormat="1" applyFont="1" applyBorder="1" applyAlignment="1">
      <alignment/>
    </xf>
    <xf numFmtId="0" fontId="0" fillId="0" borderId="24" xfId="0" applyFont="1" applyFill="1" applyBorder="1" applyAlignment="1">
      <alignment/>
    </xf>
    <xf numFmtId="44" fontId="0" fillId="0" borderId="17" xfId="55" applyFont="1" applyBorder="1" applyAlignment="1">
      <alignment/>
    </xf>
    <xf numFmtId="44" fontId="0" fillId="0" borderId="28" xfId="55" applyFont="1" applyBorder="1" applyAlignment="1">
      <alignment/>
    </xf>
    <xf numFmtId="44" fontId="0" fillId="0" borderId="38" xfId="0" applyNumberFormat="1" applyBorder="1" applyAlignment="1">
      <alignment/>
    </xf>
    <xf numFmtId="44" fontId="0" fillId="0" borderId="30" xfId="0" applyNumberFormat="1" applyBorder="1" applyAlignment="1">
      <alignment/>
    </xf>
    <xf numFmtId="0" fontId="0" fillId="0" borderId="0" xfId="0" applyAlignment="1">
      <alignment horizontal="center"/>
    </xf>
    <xf numFmtId="0" fontId="0" fillId="0" borderId="0" xfId="0" applyFont="1" applyAlignment="1">
      <alignment vertical="top"/>
    </xf>
    <xf numFmtId="0" fontId="0" fillId="27" borderId="59" xfId="0" applyFont="1" applyFill="1" applyBorder="1" applyAlignment="1">
      <alignment/>
    </xf>
    <xf numFmtId="10" fontId="0" fillId="0" borderId="22" xfId="105" applyNumberFormat="1" applyFont="1" applyBorder="1" applyAlignment="1">
      <alignment/>
    </xf>
    <xf numFmtId="44" fontId="0" fillId="27" borderId="25" xfId="55" applyNumberFormat="1" applyFont="1" applyFill="1" applyBorder="1" applyAlignment="1">
      <alignment/>
    </xf>
    <xf numFmtId="10" fontId="0" fillId="0" borderId="40" xfId="105" applyNumberFormat="1" applyFont="1" applyBorder="1" applyAlignment="1">
      <alignment/>
    </xf>
    <xf numFmtId="44" fontId="0" fillId="27" borderId="20" xfId="55" applyNumberFormat="1" applyFont="1" applyFill="1" applyBorder="1" applyAlignment="1">
      <alignment/>
    </xf>
    <xf numFmtId="44" fontId="0" fillId="0" borderId="0" xfId="55" applyFont="1" applyAlignment="1">
      <alignment/>
    </xf>
    <xf numFmtId="0" fontId="0" fillId="0" borderId="0" xfId="0" applyFont="1" applyAlignment="1">
      <alignment/>
    </xf>
    <xf numFmtId="10" fontId="2" fillId="0" borderId="0" xfId="105" applyNumberFormat="1" applyFont="1" applyFill="1" applyAlignment="1" applyProtection="1">
      <alignment/>
      <protection/>
    </xf>
    <xf numFmtId="0" fontId="0" fillId="0" borderId="0" xfId="0" applyFont="1" applyFill="1" applyBorder="1" applyAlignment="1">
      <alignment/>
    </xf>
    <xf numFmtId="0" fontId="0" fillId="0" borderId="0" xfId="0" applyNumberFormat="1" applyAlignment="1">
      <alignment/>
    </xf>
    <xf numFmtId="0" fontId="0" fillId="0" borderId="0" xfId="0" applyNumberFormat="1" applyBorder="1" applyAlignment="1">
      <alignment/>
    </xf>
    <xf numFmtId="0" fontId="3" fillId="0" borderId="38" xfId="0" applyFont="1" applyBorder="1" applyAlignment="1">
      <alignment vertical="top" wrapText="1"/>
    </xf>
    <xf numFmtId="0" fontId="53" fillId="0" borderId="60" xfId="0" applyFont="1" applyBorder="1" applyAlignment="1">
      <alignment vertical="top" wrapText="1"/>
    </xf>
    <xf numFmtId="0" fontId="0" fillId="0" borderId="60" xfId="0" applyFont="1" applyFill="1" applyBorder="1" applyAlignment="1">
      <alignment vertical="top" wrapText="1"/>
    </xf>
    <xf numFmtId="0" fontId="3" fillId="0" borderId="43" xfId="0" applyFont="1" applyFill="1" applyBorder="1" applyAlignment="1">
      <alignment vertical="top" wrapText="1"/>
    </xf>
    <xf numFmtId="0" fontId="3" fillId="0" borderId="45" xfId="0" applyFont="1" applyFill="1" applyBorder="1" applyAlignment="1">
      <alignment vertical="top" wrapText="1"/>
    </xf>
    <xf numFmtId="3" fontId="0" fillId="0" borderId="22" xfId="0" applyNumberFormat="1" applyBorder="1" applyAlignment="1">
      <alignment/>
    </xf>
    <xf numFmtId="3" fontId="0" fillId="0" borderId="22" xfId="0" applyNumberFormat="1" applyFont="1" applyBorder="1" applyAlignment="1">
      <alignment/>
    </xf>
    <xf numFmtId="3" fontId="0" fillId="0" borderId="22" xfId="0" applyNumberFormat="1" applyFill="1" applyBorder="1" applyAlignment="1">
      <alignment/>
    </xf>
    <xf numFmtId="0" fontId="0" fillId="0" borderId="0" xfId="0" applyFont="1" applyBorder="1" applyAlignment="1">
      <alignment vertical="top"/>
    </xf>
    <xf numFmtId="3" fontId="51" fillId="0" borderId="22" xfId="0" applyNumberFormat="1" applyFont="1" applyBorder="1" applyAlignment="1">
      <alignment/>
    </xf>
    <xf numFmtId="44" fontId="0" fillId="0" borderId="29" xfId="55" applyFont="1" applyBorder="1" applyAlignment="1">
      <alignment/>
    </xf>
    <xf numFmtId="44" fontId="0" fillId="0" borderId="58" xfId="0" applyNumberFormat="1" applyBorder="1" applyAlignment="1">
      <alignment/>
    </xf>
    <xf numFmtId="44" fontId="0" fillId="0" borderId="61" xfId="0" applyNumberFormat="1" applyBorder="1" applyAlignment="1">
      <alignment/>
    </xf>
    <xf numFmtId="0" fontId="3" fillId="4" borderId="26" xfId="0" applyFont="1" applyFill="1" applyBorder="1" applyAlignment="1">
      <alignment wrapText="1"/>
    </xf>
    <xf numFmtId="0" fontId="3" fillId="4" borderId="31" xfId="0" applyFont="1" applyFill="1" applyBorder="1" applyAlignment="1">
      <alignment wrapText="1"/>
    </xf>
    <xf numFmtId="0" fontId="3" fillId="4" borderId="62" xfId="0" applyFont="1" applyFill="1" applyBorder="1" applyAlignment="1">
      <alignment wrapText="1"/>
    </xf>
    <xf numFmtId="10" fontId="3" fillId="4" borderId="26" xfId="105" applyNumberFormat="1" applyFont="1" applyFill="1" applyBorder="1" applyAlignment="1">
      <alignment wrapText="1"/>
    </xf>
    <xf numFmtId="0" fontId="3" fillId="4" borderId="63" xfId="0" applyFont="1" applyFill="1" applyBorder="1" applyAlignment="1">
      <alignment wrapText="1"/>
    </xf>
    <xf numFmtId="0" fontId="3" fillId="27" borderId="19" xfId="0" applyFont="1" applyFill="1" applyBorder="1" applyAlignment="1">
      <alignment wrapText="1"/>
    </xf>
    <xf numFmtId="0" fontId="3" fillId="4" borderId="35" xfId="0" applyFont="1" applyFill="1" applyBorder="1" applyAlignment="1">
      <alignment wrapText="1"/>
    </xf>
    <xf numFmtId="0" fontId="3" fillId="26" borderId="19" xfId="0" applyFont="1" applyFill="1" applyBorder="1" applyAlignment="1">
      <alignment wrapText="1"/>
    </xf>
    <xf numFmtId="0" fontId="0" fillId="0" borderId="64" xfId="0" applyBorder="1" applyAlignment="1">
      <alignment/>
    </xf>
    <xf numFmtId="44" fontId="0" fillId="0" borderId="14" xfId="55" applyNumberFormat="1" applyFont="1" applyBorder="1" applyAlignment="1">
      <alignment/>
    </xf>
    <xf numFmtId="44" fontId="0" fillId="0" borderId="65" xfId="55" applyNumberFormat="1" applyFont="1" applyBorder="1" applyAlignment="1">
      <alignment/>
    </xf>
    <xf numFmtId="4" fontId="42" fillId="0" borderId="0" xfId="0" applyNumberFormat="1" applyFont="1" applyFill="1" applyBorder="1" applyAlignment="1" applyProtection="1">
      <alignment horizontal="right"/>
      <protection/>
    </xf>
    <xf numFmtId="4" fontId="42" fillId="0" borderId="32" xfId="0" applyNumberFormat="1" applyFont="1" applyFill="1" applyBorder="1" applyAlignment="1" applyProtection="1">
      <alignment horizontal="right"/>
      <protection/>
    </xf>
    <xf numFmtId="4" fontId="42" fillId="0" borderId="33" xfId="0" applyNumberFormat="1" applyFont="1" applyFill="1" applyBorder="1" applyAlignment="1" applyProtection="1">
      <alignment horizontal="right"/>
      <protection/>
    </xf>
    <xf numFmtId="4" fontId="42" fillId="0" borderId="58" xfId="0" applyNumberFormat="1" applyFont="1" applyFill="1" applyBorder="1" applyAlignment="1" applyProtection="1">
      <alignment horizontal="right"/>
      <protection/>
    </xf>
    <xf numFmtId="4" fontId="42" fillId="0" borderId="47" xfId="0" applyNumberFormat="1" applyFont="1" applyFill="1" applyBorder="1" applyAlignment="1" applyProtection="1">
      <alignment horizontal="right"/>
      <protection/>
    </xf>
    <xf numFmtId="4" fontId="42" fillId="0" borderId="61" xfId="0" applyNumberFormat="1" applyFont="1" applyFill="1" applyBorder="1" applyAlignment="1" applyProtection="1">
      <alignment horizontal="right"/>
      <protection/>
    </xf>
    <xf numFmtId="4" fontId="42" fillId="0" borderId="66" xfId="0" applyNumberFormat="1" applyFont="1" applyFill="1" applyBorder="1" applyAlignment="1" applyProtection="1">
      <alignment horizontal="right"/>
      <protection/>
    </xf>
    <xf numFmtId="4" fontId="42" fillId="0" borderId="48" xfId="0" applyNumberFormat="1" applyFont="1" applyFill="1" applyBorder="1" applyAlignment="1" applyProtection="1">
      <alignment horizontal="right"/>
      <protection/>
    </xf>
    <xf numFmtId="4" fontId="42" fillId="0" borderId="64" xfId="0" applyNumberFormat="1" applyFont="1" applyFill="1" applyBorder="1" applyAlignment="1" applyProtection="1">
      <alignment horizontal="right"/>
      <protection/>
    </xf>
    <xf numFmtId="4" fontId="42" fillId="0" borderId="67" xfId="0" applyNumberFormat="1" applyFont="1" applyFill="1" applyBorder="1" applyAlignment="1" applyProtection="1">
      <alignment horizontal="right"/>
      <protection/>
    </xf>
    <xf numFmtId="4" fontId="42" fillId="0" borderId="14" xfId="0" applyNumberFormat="1" applyFont="1" applyFill="1" applyBorder="1" applyAlignment="1" applyProtection="1">
      <alignment horizontal="right"/>
      <protection/>
    </xf>
    <xf numFmtId="4" fontId="42" fillId="0" borderId="65" xfId="0" applyNumberFormat="1" applyFont="1" applyFill="1" applyBorder="1" applyAlignment="1" applyProtection="1">
      <alignment horizontal="right"/>
      <protection/>
    </xf>
    <xf numFmtId="4" fontId="42" fillId="0" borderId="28" xfId="0" applyNumberFormat="1" applyFont="1" applyFill="1" applyBorder="1" applyAlignment="1" applyProtection="1">
      <alignment horizontal="right"/>
      <protection/>
    </xf>
    <xf numFmtId="4" fontId="42" fillId="0" borderId="27" xfId="0" applyNumberFormat="1" applyFont="1" applyFill="1" applyBorder="1" applyAlignment="1" applyProtection="1">
      <alignment horizontal="right"/>
      <protection/>
    </xf>
    <xf numFmtId="4" fontId="42" fillId="0" borderId="39" xfId="0" applyNumberFormat="1" applyFont="1" applyFill="1" applyBorder="1" applyAlignment="1" applyProtection="1">
      <alignment horizontal="right"/>
      <protection/>
    </xf>
    <xf numFmtId="4" fontId="42" fillId="0" borderId="29" xfId="0" applyNumberFormat="1" applyFont="1" applyFill="1" applyBorder="1" applyAlignment="1" applyProtection="1">
      <alignment horizontal="right"/>
      <protection/>
    </xf>
    <xf numFmtId="4" fontId="42" fillId="0" borderId="22" xfId="0" applyNumberFormat="1" applyFont="1" applyFill="1" applyBorder="1" applyAlignment="1" applyProtection="1">
      <alignment horizontal="right"/>
      <protection/>
    </xf>
    <xf numFmtId="4" fontId="42" fillId="0" borderId="40" xfId="0" applyNumberFormat="1" applyFont="1" applyFill="1" applyBorder="1" applyAlignment="1" applyProtection="1">
      <alignment horizontal="right"/>
      <protection/>
    </xf>
    <xf numFmtId="44" fontId="0" fillId="0" borderId="48" xfId="55" applyNumberFormat="1" applyFont="1" applyBorder="1" applyAlignment="1">
      <alignment/>
    </xf>
    <xf numFmtId="44" fontId="0" fillId="0" borderId="64" xfId="55" applyNumberFormat="1" applyFont="1" applyBorder="1" applyAlignment="1">
      <alignment/>
    </xf>
    <xf numFmtId="170" fontId="42" fillId="0" borderId="22" xfId="0" applyNumberFormat="1" applyFont="1" applyFill="1" applyBorder="1" applyAlignment="1" applyProtection="1">
      <alignment horizontal="right"/>
      <protection locked="0"/>
    </xf>
    <xf numFmtId="44" fontId="3" fillId="4" borderId="28" xfId="55" applyFont="1" applyFill="1" applyBorder="1" applyAlignment="1">
      <alignment wrapText="1"/>
    </xf>
    <xf numFmtId="44" fontId="0" fillId="0" borderId="66" xfId="55" applyNumberFormat="1" applyFont="1" applyBorder="1" applyAlignment="1">
      <alignment/>
    </xf>
    <xf numFmtId="44" fontId="0" fillId="0" borderId="67" xfId="55" applyNumberFormat="1" applyFont="1" applyBorder="1" applyAlignment="1">
      <alignment/>
    </xf>
    <xf numFmtId="170" fontId="42" fillId="0" borderId="29" xfId="0" applyNumberFormat="1" applyFont="1" applyFill="1" applyBorder="1" applyAlignment="1" applyProtection="1">
      <alignment horizontal="right"/>
      <protection locked="0"/>
    </xf>
    <xf numFmtId="170" fontId="42" fillId="0" borderId="40" xfId="0" applyNumberFormat="1" applyFont="1" applyFill="1" applyBorder="1" applyAlignment="1" applyProtection="1">
      <alignment horizontal="right"/>
      <protection locked="0"/>
    </xf>
    <xf numFmtId="167" fontId="3" fillId="0" borderId="35" xfId="55" applyNumberFormat="1" applyFont="1" applyBorder="1" applyAlignment="1">
      <alignment/>
    </xf>
    <xf numFmtId="167" fontId="3" fillId="0" borderId="31" xfId="55" applyNumberFormat="1" applyFont="1" applyBorder="1" applyAlignment="1">
      <alignment/>
    </xf>
    <xf numFmtId="167" fontId="3" fillId="0" borderId="63" xfId="55" applyNumberFormat="1" applyFont="1" applyBorder="1" applyAlignment="1">
      <alignment/>
    </xf>
    <xf numFmtId="167" fontId="3" fillId="0" borderId="26" xfId="55" applyNumberFormat="1" applyFont="1" applyBorder="1" applyAlignment="1">
      <alignment/>
    </xf>
    <xf numFmtId="167" fontId="3" fillId="0" borderId="36" xfId="55" applyNumberFormat="1" applyFont="1" applyBorder="1" applyAlignment="1">
      <alignment/>
    </xf>
    <xf numFmtId="44" fontId="3" fillId="0" borderId="63" xfId="55" applyFont="1" applyBorder="1" applyAlignment="1">
      <alignment/>
    </xf>
    <xf numFmtId="44" fontId="3" fillId="0" borderId="35" xfId="55" applyFont="1" applyBorder="1" applyAlignment="1">
      <alignment/>
    </xf>
    <xf numFmtId="44" fontId="3" fillId="0" borderId="37" xfId="55" applyFont="1" applyBorder="1" applyAlignment="1">
      <alignment/>
    </xf>
    <xf numFmtId="3" fontId="0" fillId="0" borderId="22" xfId="0" applyNumberFormat="1" applyBorder="1" applyAlignment="1">
      <alignment horizontal="center"/>
    </xf>
    <xf numFmtId="0" fontId="0" fillId="0" borderId="22" xfId="0" applyNumberFormat="1" applyBorder="1" applyAlignment="1">
      <alignment horizontal="center"/>
    </xf>
    <xf numFmtId="0" fontId="0" fillId="0" borderId="22" xfId="0" applyBorder="1" applyAlignment="1">
      <alignment horizontal="left"/>
    </xf>
    <xf numFmtId="0" fontId="53" fillId="0" borderId="24" xfId="0" applyFont="1" applyFill="1" applyBorder="1" applyAlignment="1">
      <alignment horizontal="left"/>
    </xf>
    <xf numFmtId="0" fontId="53" fillId="0" borderId="24" xfId="0" applyNumberFormat="1" applyFont="1" applyFill="1" applyBorder="1" applyAlignment="1">
      <alignment horizontal="center"/>
    </xf>
    <xf numFmtId="3" fontId="53" fillId="0" borderId="24" xfId="0" applyNumberFormat="1" applyFont="1" applyFill="1" applyBorder="1" applyAlignment="1">
      <alignment horizontal="center"/>
    </xf>
    <xf numFmtId="0" fontId="3" fillId="0" borderId="24" xfId="0" applyFont="1" applyBorder="1" applyAlignment="1">
      <alignment horizontal="center" wrapText="1"/>
    </xf>
    <xf numFmtId="0" fontId="3" fillId="0" borderId="35" xfId="0" applyFont="1" applyBorder="1" applyAlignment="1">
      <alignment vertical="top"/>
    </xf>
    <xf numFmtId="0" fontId="3" fillId="0" borderId="37" xfId="0" applyFont="1" applyBorder="1" applyAlignment="1">
      <alignment vertical="top" wrapText="1"/>
    </xf>
    <xf numFmtId="0" fontId="0" fillId="0" borderId="37" xfId="0" applyBorder="1" applyAlignment="1">
      <alignment vertical="top"/>
    </xf>
    <xf numFmtId="0" fontId="0" fillId="0" borderId="0" xfId="0" applyNumberFormat="1" applyFill="1" applyBorder="1" applyAlignment="1">
      <alignment/>
    </xf>
    <xf numFmtId="0" fontId="0" fillId="0" borderId="49" xfId="0" applyFont="1" applyBorder="1" applyAlignment="1">
      <alignment/>
    </xf>
    <xf numFmtId="0" fontId="0" fillId="0" borderId="24" xfId="0" applyFont="1" applyBorder="1" applyAlignment="1">
      <alignment wrapText="1"/>
    </xf>
    <xf numFmtId="0" fontId="0" fillId="0" borderId="53" xfId="0" applyFont="1" applyBorder="1" applyAlignment="1">
      <alignment wrapText="1"/>
    </xf>
    <xf numFmtId="44" fontId="0" fillId="0" borderId="24" xfId="55" applyFont="1" applyBorder="1" applyAlignment="1">
      <alignment wrapText="1"/>
    </xf>
    <xf numFmtId="0" fontId="0" fillId="0" borderId="22" xfId="0" applyFont="1" applyBorder="1" applyAlignment="1">
      <alignment/>
    </xf>
    <xf numFmtId="3" fontId="51" fillId="0" borderId="22" xfId="0" applyNumberFormat="1" applyFont="1" applyFill="1" applyBorder="1" applyAlignment="1">
      <alignment/>
    </xf>
    <xf numFmtId="1" fontId="0" fillId="0" borderId="22" xfId="0" applyNumberFormat="1" applyFill="1" applyBorder="1" applyAlignment="1">
      <alignment/>
    </xf>
    <xf numFmtId="44" fontId="0" fillId="0" borderId="22" xfId="0" applyNumberFormat="1" applyFill="1" applyBorder="1" applyAlignment="1">
      <alignment/>
    </xf>
    <xf numFmtId="0" fontId="0" fillId="0" borderId="22" xfId="0" applyFont="1" applyFill="1" applyBorder="1" applyAlignment="1">
      <alignment/>
    </xf>
    <xf numFmtId="44" fontId="51" fillId="0" borderId="22" xfId="0" applyNumberFormat="1" applyFont="1" applyFill="1" applyBorder="1" applyAlignment="1">
      <alignment/>
    </xf>
    <xf numFmtId="44" fontId="51" fillId="0" borderId="22" xfId="55" applyFont="1" applyFill="1" applyBorder="1" applyAlignment="1">
      <alignment/>
    </xf>
    <xf numFmtId="0" fontId="0" fillId="0" borderId="48" xfId="0" applyFill="1" applyBorder="1" applyAlignment="1">
      <alignment/>
    </xf>
    <xf numFmtId="0" fontId="0" fillId="0" borderId="27" xfId="0" applyBorder="1" applyAlignment="1">
      <alignment/>
    </xf>
    <xf numFmtId="0" fontId="0" fillId="0" borderId="0" xfId="0" applyFont="1" applyAlignment="1">
      <alignment/>
    </xf>
    <xf numFmtId="3" fontId="50" fillId="0" borderId="22" xfId="0" applyNumberFormat="1" applyFont="1" applyBorder="1" applyAlignment="1">
      <alignment/>
    </xf>
    <xf numFmtId="3" fontId="0" fillId="29" borderId="22" xfId="0" applyNumberFormat="1" applyFont="1" applyFill="1" applyBorder="1" applyAlignment="1">
      <alignment/>
    </xf>
    <xf numFmtId="0" fontId="0" fillId="0" borderId="25" xfId="0" applyFill="1" applyBorder="1" applyAlignment="1">
      <alignment/>
    </xf>
    <xf numFmtId="0" fontId="0" fillId="0" borderId="25" xfId="0" applyFont="1" applyFill="1" applyBorder="1" applyAlignment="1">
      <alignment/>
    </xf>
    <xf numFmtId="3" fontId="0" fillId="0" borderId="21" xfId="0" applyNumberFormat="1" applyBorder="1" applyAlignment="1">
      <alignment/>
    </xf>
    <xf numFmtId="3" fontId="51" fillId="0" borderId="24" xfId="0" applyNumberFormat="1" applyFont="1" applyBorder="1" applyAlignment="1">
      <alignment/>
    </xf>
    <xf numFmtId="0" fontId="0" fillId="0" borderId="23" xfId="0" applyFont="1" applyBorder="1" applyAlignment="1">
      <alignment/>
    </xf>
    <xf numFmtId="0" fontId="3" fillId="0" borderId="68" xfId="0" applyFont="1" applyBorder="1" applyAlignment="1">
      <alignment vertical="top"/>
    </xf>
    <xf numFmtId="0" fontId="49" fillId="0" borderId="0" xfId="90" applyFont="1" applyBorder="1">
      <alignment/>
      <protection/>
    </xf>
    <xf numFmtId="0" fontId="47" fillId="0" borderId="0" xfId="90" applyBorder="1">
      <alignment/>
      <protection/>
    </xf>
    <xf numFmtId="0" fontId="47" fillId="0" borderId="0" xfId="90" applyFont="1" applyBorder="1">
      <alignment/>
      <protection/>
    </xf>
    <xf numFmtId="0" fontId="51" fillId="0" borderId="0" xfId="90" applyFont="1" applyBorder="1">
      <alignment/>
      <protection/>
    </xf>
    <xf numFmtId="0" fontId="50" fillId="0" borderId="0" xfId="90" applyFont="1" applyBorder="1">
      <alignment/>
      <protection/>
    </xf>
    <xf numFmtId="0" fontId="47" fillId="0" borderId="53" xfId="90" applyBorder="1" applyAlignment="1">
      <alignment wrapText="1"/>
      <protection/>
    </xf>
    <xf numFmtId="0" fontId="47" fillId="0" borderId="54" xfId="90" applyBorder="1" applyAlignment="1">
      <alignment wrapText="1"/>
      <protection/>
    </xf>
    <xf numFmtId="0" fontId="47" fillId="0" borderId="0" xfId="90" applyBorder="1" applyAlignment="1">
      <alignment wrapText="1"/>
      <protection/>
    </xf>
    <xf numFmtId="0" fontId="47" fillId="0" borderId="24" xfId="90" applyBorder="1" applyAlignment="1">
      <alignment wrapText="1"/>
      <protection/>
    </xf>
    <xf numFmtId="0" fontId="47" fillId="0" borderId="24" xfId="90" applyFont="1" applyBorder="1" applyAlignment="1">
      <alignment wrapText="1"/>
      <protection/>
    </xf>
    <xf numFmtId="0" fontId="51" fillId="0" borderId="24" xfId="90" applyFont="1" applyBorder="1" applyAlignment="1">
      <alignment wrapText="1"/>
      <protection/>
    </xf>
    <xf numFmtId="0" fontId="51" fillId="0" borderId="0" xfId="90" applyFont="1" applyBorder="1" applyAlignment="1">
      <alignment wrapText="1"/>
      <protection/>
    </xf>
    <xf numFmtId="0" fontId="47" fillId="0" borderId="53" xfId="90" applyFont="1" applyBorder="1" applyAlignment="1">
      <alignment wrapText="1"/>
      <protection/>
    </xf>
    <xf numFmtId="0" fontId="47" fillId="0" borderId="48" xfId="90" applyBorder="1">
      <alignment/>
      <protection/>
    </xf>
    <xf numFmtId="0" fontId="47" fillId="0" borderId="14" xfId="90" applyBorder="1">
      <alignment/>
      <protection/>
    </xf>
    <xf numFmtId="3" fontId="47" fillId="0" borderId="22" xfId="90" applyNumberFormat="1" applyBorder="1">
      <alignment/>
      <protection/>
    </xf>
    <xf numFmtId="3" fontId="47" fillId="0" borderId="22" xfId="90" applyNumberFormat="1" applyFont="1" applyBorder="1">
      <alignment/>
      <protection/>
    </xf>
    <xf numFmtId="3" fontId="51" fillId="0" borderId="22" xfId="90" applyNumberFormat="1" applyFont="1" applyBorder="1">
      <alignment/>
      <protection/>
    </xf>
    <xf numFmtId="44" fontId="47" fillId="0" borderId="48" xfId="90" applyNumberFormat="1" applyFont="1" applyBorder="1">
      <alignment/>
      <protection/>
    </xf>
    <xf numFmtId="44" fontId="0" fillId="0" borderId="22" xfId="63" applyFont="1" applyBorder="1" applyAlignment="1">
      <alignment/>
    </xf>
    <xf numFmtId="0" fontId="42" fillId="0" borderId="48" xfId="90" applyFont="1" applyFill="1" applyBorder="1">
      <alignment/>
      <protection/>
    </xf>
    <xf numFmtId="0" fontId="42" fillId="0" borderId="14" xfId="90" applyFont="1" applyFill="1" applyBorder="1">
      <alignment/>
      <protection/>
    </xf>
    <xf numFmtId="0" fontId="42" fillId="0" borderId="0" xfId="90" applyFont="1" applyFill="1" applyBorder="1">
      <alignment/>
      <protection/>
    </xf>
    <xf numFmtId="3" fontId="42" fillId="0" borderId="22" xfId="90" applyNumberFormat="1" applyFont="1" applyFill="1" applyBorder="1">
      <alignment/>
      <protection/>
    </xf>
    <xf numFmtId="3" fontId="45" fillId="0" borderId="22" xfId="90" applyNumberFormat="1" applyFont="1" applyFill="1" applyBorder="1">
      <alignment/>
      <protection/>
    </xf>
    <xf numFmtId="0" fontId="45" fillId="0" borderId="0" xfId="90" applyFont="1" applyFill="1" applyBorder="1">
      <alignment/>
      <protection/>
    </xf>
    <xf numFmtId="44" fontId="42" fillId="0" borderId="48" xfId="90" applyNumberFormat="1" applyFont="1" applyFill="1" applyBorder="1">
      <alignment/>
      <protection/>
    </xf>
    <xf numFmtId="44" fontId="42" fillId="0" borderId="22" xfId="63" applyFont="1" applyFill="1" applyBorder="1" applyAlignment="1">
      <alignment/>
    </xf>
    <xf numFmtId="0" fontId="42" fillId="0" borderId="0" xfId="90" applyFont="1" applyFill="1">
      <alignment/>
      <protection/>
    </xf>
    <xf numFmtId="0" fontId="42" fillId="0" borderId="0" xfId="90" applyFont="1" applyFill="1" applyAlignment="1">
      <alignment horizontal="left"/>
      <protection/>
    </xf>
    <xf numFmtId="0" fontId="42" fillId="0" borderId="48" xfId="90" applyFont="1" applyFill="1" applyBorder="1" applyAlignment="1">
      <alignment horizontal="left"/>
      <protection/>
    </xf>
    <xf numFmtId="0" fontId="47" fillId="0" borderId="0" xfId="90">
      <alignment/>
      <protection/>
    </xf>
    <xf numFmtId="0" fontId="0" fillId="0" borderId="48" xfId="90" applyFont="1" applyFill="1" applyBorder="1">
      <alignment/>
      <protection/>
    </xf>
    <xf numFmtId="0" fontId="47" fillId="0" borderId="0" xfId="90" applyAlignment="1">
      <alignment horizontal="left"/>
      <protection/>
    </xf>
    <xf numFmtId="0" fontId="51" fillId="0" borderId="48" xfId="90" applyFont="1" applyBorder="1">
      <alignment/>
      <protection/>
    </xf>
    <xf numFmtId="0" fontId="51" fillId="0" borderId="14" xfId="90" applyFont="1" applyBorder="1">
      <alignment/>
      <protection/>
    </xf>
    <xf numFmtId="44" fontId="51" fillId="0" borderId="48" xfId="90" applyNumberFormat="1" applyFont="1" applyBorder="1">
      <alignment/>
      <protection/>
    </xf>
    <xf numFmtId="42" fontId="51" fillId="0" borderId="22" xfId="90" applyNumberFormat="1" applyFont="1" applyBorder="1">
      <alignment/>
      <protection/>
    </xf>
    <xf numFmtId="3" fontId="50" fillId="0" borderId="22" xfId="90" applyNumberFormat="1" applyFont="1" applyBorder="1">
      <alignment/>
      <protection/>
    </xf>
    <xf numFmtId="0" fontId="47" fillId="0" borderId="48" xfId="90" applyFont="1" applyBorder="1">
      <alignment/>
      <protection/>
    </xf>
    <xf numFmtId="0" fontId="47" fillId="0" borderId="48" xfId="90" applyBorder="1" applyAlignment="1">
      <alignment horizontal="left"/>
      <protection/>
    </xf>
    <xf numFmtId="0" fontId="47" fillId="0" borderId="14" xfId="90" applyFill="1" applyBorder="1">
      <alignment/>
      <protection/>
    </xf>
    <xf numFmtId="0" fontId="47" fillId="0" borderId="0" xfId="90" applyFill="1" applyBorder="1">
      <alignment/>
      <protection/>
    </xf>
    <xf numFmtId="0" fontId="47" fillId="0" borderId="25" xfId="90" applyFill="1" applyBorder="1">
      <alignment/>
      <protection/>
    </xf>
    <xf numFmtId="0" fontId="0" fillId="0" borderId="25" xfId="90" applyFont="1" applyFill="1" applyBorder="1">
      <alignment/>
      <protection/>
    </xf>
    <xf numFmtId="3" fontId="47" fillId="0" borderId="21" xfId="90" applyNumberFormat="1" applyBorder="1">
      <alignment/>
      <protection/>
    </xf>
    <xf numFmtId="0" fontId="47" fillId="0" borderId="22" xfId="90" applyBorder="1">
      <alignment/>
      <protection/>
    </xf>
    <xf numFmtId="0" fontId="50" fillId="0" borderId="22" xfId="90" applyFont="1" applyBorder="1">
      <alignment/>
      <protection/>
    </xf>
    <xf numFmtId="0" fontId="51" fillId="0" borderId="22" xfId="90" applyFont="1" applyBorder="1">
      <alignment/>
      <protection/>
    </xf>
    <xf numFmtId="0" fontId="51" fillId="0" borderId="48" xfId="90" applyFont="1" applyBorder="1" applyAlignment="1">
      <alignment horizontal="left"/>
      <protection/>
    </xf>
    <xf numFmtId="0" fontId="51" fillId="0" borderId="14" xfId="90" applyFont="1" applyFill="1" applyBorder="1">
      <alignment/>
      <protection/>
    </xf>
    <xf numFmtId="0" fontId="51" fillId="0" borderId="0" xfId="90" applyFont="1" applyFill="1" applyBorder="1">
      <alignment/>
      <protection/>
    </xf>
    <xf numFmtId="3" fontId="51" fillId="0" borderId="24" xfId="90" applyNumberFormat="1" applyFont="1" applyBorder="1">
      <alignment/>
      <protection/>
    </xf>
    <xf numFmtId="44" fontId="51" fillId="0" borderId="22" xfId="63" applyFont="1" applyBorder="1" applyAlignment="1">
      <alignment/>
    </xf>
    <xf numFmtId="0" fontId="47" fillId="0" borderId="56" xfId="90" applyBorder="1" applyAlignment="1">
      <alignment horizontal="left"/>
      <protection/>
    </xf>
    <xf numFmtId="0" fontId="47" fillId="0" borderId="50" xfId="90" applyFill="1" applyBorder="1">
      <alignment/>
      <protection/>
    </xf>
    <xf numFmtId="0" fontId="47" fillId="0" borderId="23" xfId="90" applyBorder="1">
      <alignment/>
      <protection/>
    </xf>
    <xf numFmtId="0" fontId="50" fillId="0" borderId="23" xfId="90" applyFont="1" applyBorder="1">
      <alignment/>
      <protection/>
    </xf>
    <xf numFmtId="0" fontId="51" fillId="0" borderId="23" xfId="90" applyFont="1" applyBorder="1">
      <alignment/>
      <protection/>
    </xf>
    <xf numFmtId="0" fontId="47" fillId="0" borderId="56" xfId="90" applyFont="1" applyBorder="1">
      <alignment/>
      <protection/>
    </xf>
    <xf numFmtId="44" fontId="0" fillId="0" borderId="23" xfId="63" applyFont="1" applyBorder="1" applyAlignment="1">
      <alignment/>
    </xf>
    <xf numFmtId="0" fontId="47" fillId="0" borderId="0" xfId="90" applyBorder="1" applyAlignment="1">
      <alignment horizontal="left"/>
      <protection/>
    </xf>
    <xf numFmtId="44" fontId="0" fillId="0" borderId="0" xfId="63" applyFont="1" applyBorder="1" applyAlignment="1">
      <alignment/>
    </xf>
    <xf numFmtId="44" fontId="47" fillId="0" borderId="0" xfId="90" applyNumberFormat="1" applyBorder="1">
      <alignment/>
      <protection/>
    </xf>
    <xf numFmtId="0" fontId="0" fillId="0" borderId="0" xfId="15" applyFill="1">
      <alignment/>
      <protection/>
    </xf>
    <xf numFmtId="44" fontId="0" fillId="0" borderId="0" xfId="55" applyFill="1" applyAlignment="1">
      <alignment/>
    </xf>
    <xf numFmtId="0" fontId="0" fillId="0" borderId="0" xfId="15" applyAlignment="1">
      <alignment horizontal="center"/>
      <protection/>
    </xf>
    <xf numFmtId="0" fontId="3" fillId="0" borderId="0" xfId="15" applyFont="1" applyAlignment="1">
      <alignment horizontal="center"/>
      <protection/>
    </xf>
    <xf numFmtId="0" fontId="0" fillId="0" borderId="0" xfId="15" applyAlignment="1">
      <alignment horizontal="right"/>
      <protection/>
    </xf>
    <xf numFmtId="0" fontId="3" fillId="0" borderId="0" xfId="15" applyFont="1" applyAlignment="1">
      <alignment horizontal="right"/>
      <protection/>
    </xf>
    <xf numFmtId="44" fontId="0" fillId="0" borderId="0" xfId="55" applyAlignment="1">
      <alignment horizontal="right"/>
    </xf>
    <xf numFmtId="44" fontId="0" fillId="26" borderId="19" xfId="55" applyFill="1" applyBorder="1" applyAlignment="1">
      <alignment horizontal="right"/>
    </xf>
    <xf numFmtId="165" fontId="0" fillId="26" borderId="19" xfId="55" applyNumberFormat="1" applyFill="1" applyBorder="1" applyAlignment="1">
      <alignment horizontal="right"/>
    </xf>
    <xf numFmtId="165" fontId="0" fillId="0" borderId="0" xfId="55" applyNumberFormat="1" applyFill="1" applyBorder="1" applyAlignment="1">
      <alignment horizontal="right"/>
    </xf>
    <xf numFmtId="0" fontId="3" fillId="0" borderId="36" xfId="15" applyFont="1" applyBorder="1" applyAlignment="1">
      <alignment horizontal="right"/>
      <protection/>
    </xf>
    <xf numFmtId="171" fontId="0" fillId="29" borderId="0" xfId="15" applyNumberFormat="1" applyFill="1" applyAlignment="1">
      <alignment horizontal="right"/>
      <protection/>
    </xf>
    <xf numFmtId="44" fontId="0" fillId="0" borderId="24" xfId="55" applyFill="1" applyBorder="1" applyAlignment="1">
      <alignment horizontal="right"/>
    </xf>
    <xf numFmtId="44" fontId="0" fillId="0" borderId="0" xfId="55" applyFill="1" applyAlignment="1">
      <alignment horizontal="right"/>
    </xf>
    <xf numFmtId="44" fontId="31" fillId="0" borderId="19" xfId="55" applyFont="1" applyBorder="1" applyAlignment="1">
      <alignment horizontal="right"/>
    </xf>
    <xf numFmtId="0" fontId="3" fillId="28" borderId="62" xfId="0" applyFont="1" applyFill="1" applyBorder="1" applyAlignment="1">
      <alignment wrapText="1"/>
    </xf>
    <xf numFmtId="44" fontId="0" fillId="0" borderId="14" xfId="55" applyFont="1" applyBorder="1" applyAlignment="1">
      <alignment/>
    </xf>
    <xf numFmtId="44" fontId="0" fillId="0" borderId="65" xfId="55" applyFont="1" applyBorder="1" applyAlignment="1">
      <alignment/>
    </xf>
    <xf numFmtId="44" fontId="3" fillId="0" borderId="36" xfId="55" applyFont="1" applyBorder="1" applyAlignment="1">
      <alignment/>
    </xf>
    <xf numFmtId="0" fontId="30" fillId="0" borderId="0" xfId="79" applyFont="1">
      <alignment/>
      <protection/>
    </xf>
    <xf numFmtId="0" fontId="0" fillId="0" borderId="0" xfId="79">
      <alignment/>
      <protection/>
    </xf>
    <xf numFmtId="172" fontId="0" fillId="0" borderId="0" xfId="55" applyNumberFormat="1" applyFont="1" applyAlignment="1">
      <alignment/>
    </xf>
    <xf numFmtId="0" fontId="3" fillId="0" borderId="0" xfId="79" applyFont="1">
      <alignment/>
      <protection/>
    </xf>
    <xf numFmtId="0" fontId="0" fillId="0" borderId="0" xfId="79" applyAlignment="1">
      <alignment wrapText="1"/>
      <protection/>
    </xf>
    <xf numFmtId="6" fontId="0" fillId="0" borderId="0" xfId="79" applyNumberFormat="1">
      <alignment/>
      <protection/>
    </xf>
    <xf numFmtId="8" fontId="0" fillId="0" borderId="0" xfId="79" applyNumberFormat="1">
      <alignment/>
      <protection/>
    </xf>
    <xf numFmtId="0" fontId="0" fillId="29" borderId="24" xfId="79" applyFont="1" applyFill="1" applyBorder="1" applyAlignment="1">
      <alignment wrapText="1"/>
      <protection/>
    </xf>
    <xf numFmtId="0" fontId="0" fillId="0" borderId="24" xfId="79" applyBorder="1" applyAlignment="1">
      <alignment wrapText="1"/>
      <protection/>
    </xf>
    <xf numFmtId="0" fontId="0" fillId="0" borderId="24" xfId="79" applyFont="1" applyBorder="1" applyAlignment="1">
      <alignment wrapText="1"/>
      <protection/>
    </xf>
    <xf numFmtId="0" fontId="0" fillId="0" borderId="24" xfId="79" applyFont="1" applyFill="1" applyBorder="1" applyAlignment="1">
      <alignment wrapText="1"/>
      <protection/>
    </xf>
    <xf numFmtId="172" fontId="0" fillId="0" borderId="24" xfId="55" applyNumberFormat="1" applyFont="1" applyFill="1" applyBorder="1" applyAlignment="1">
      <alignment wrapText="1"/>
    </xf>
    <xf numFmtId="0" fontId="0" fillId="0" borderId="24" xfId="79" applyNumberFormat="1" applyBorder="1">
      <alignment/>
      <protection/>
    </xf>
    <xf numFmtId="0" fontId="32" fillId="0" borderId="24" xfId="15" applyFont="1" applyBorder="1">
      <alignment/>
      <protection/>
    </xf>
    <xf numFmtId="0" fontId="0" fillId="0" borderId="24" xfId="79" applyBorder="1">
      <alignment/>
      <protection/>
    </xf>
    <xf numFmtId="172" fontId="0" fillId="0" borderId="24" xfId="55" applyNumberFormat="1" applyFont="1" applyBorder="1" applyAlignment="1">
      <alignment/>
    </xf>
    <xf numFmtId="0" fontId="0" fillId="0" borderId="24" xfId="79" applyFont="1" applyBorder="1">
      <alignment/>
      <protection/>
    </xf>
    <xf numFmtId="0" fontId="32" fillId="0" borderId="24" xfId="15" applyFont="1" applyFill="1" applyBorder="1">
      <alignment/>
      <protection/>
    </xf>
    <xf numFmtId="0" fontId="0" fillId="0" borderId="24" xfId="79" applyFill="1" applyBorder="1">
      <alignment/>
      <protection/>
    </xf>
    <xf numFmtId="0" fontId="0" fillId="0" borderId="43" xfId="0" applyFont="1" applyBorder="1" applyAlignment="1">
      <alignment vertical="top" wrapText="1"/>
    </xf>
    <xf numFmtId="0" fontId="0" fillId="0" borderId="49" xfId="0" applyFont="1" applyBorder="1" applyAlignment="1">
      <alignment/>
    </xf>
    <xf numFmtId="44" fontId="0" fillId="0" borderId="55" xfId="55" applyFont="1" applyBorder="1" applyAlignment="1">
      <alignment/>
    </xf>
    <xf numFmtId="0" fontId="0" fillId="0" borderId="48" xfId="0" applyFont="1" applyBorder="1" applyAlignment="1">
      <alignment/>
    </xf>
    <xf numFmtId="0" fontId="0" fillId="0" borderId="48" xfId="0" applyFont="1" applyFill="1" applyBorder="1" applyAlignment="1">
      <alignment/>
    </xf>
    <xf numFmtId="0" fontId="0" fillId="0" borderId="56" xfId="0" applyFont="1" applyFill="1" applyBorder="1" applyAlignment="1">
      <alignment/>
    </xf>
    <xf numFmtId="0" fontId="0" fillId="0" borderId="24" xfId="0" applyFont="1" applyBorder="1" applyAlignment="1">
      <alignment/>
    </xf>
    <xf numFmtId="0" fontId="0" fillId="0" borderId="24" xfId="0" applyBorder="1" applyAlignment="1">
      <alignment/>
    </xf>
    <xf numFmtId="44" fontId="0" fillId="0" borderId="24" xfId="55" applyFont="1" applyBorder="1" applyAlignment="1">
      <alignment/>
    </xf>
    <xf numFmtId="44" fontId="3" fillId="30" borderId="46" xfId="55" applyFont="1" applyFill="1" applyBorder="1" applyAlignment="1">
      <alignment wrapText="1"/>
    </xf>
    <xf numFmtId="0" fontId="3" fillId="30" borderId="26" xfId="0" applyFont="1" applyFill="1" applyBorder="1" applyAlignment="1">
      <alignment wrapText="1"/>
    </xf>
    <xf numFmtId="44" fontId="3" fillId="30" borderId="26" xfId="55" applyFont="1" applyFill="1" applyBorder="1" applyAlignment="1">
      <alignment wrapText="1"/>
    </xf>
    <xf numFmtId="0" fontId="3" fillId="30" borderId="31" xfId="0" applyFont="1" applyFill="1" applyBorder="1" applyAlignment="1">
      <alignment wrapText="1"/>
    </xf>
    <xf numFmtId="0" fontId="0" fillId="0" borderId="56" xfId="0" applyFont="1" applyBorder="1" applyAlignment="1">
      <alignment/>
    </xf>
    <xf numFmtId="0" fontId="3" fillId="0" borderId="0" xfId="0" applyFont="1" applyBorder="1" applyAlignment="1">
      <alignment vertical="top"/>
    </xf>
    <xf numFmtId="0" fontId="0" fillId="0" borderId="0" xfId="0" applyFont="1" applyBorder="1" applyAlignment="1">
      <alignment vertical="top" wrapText="1"/>
    </xf>
    <xf numFmtId="0" fontId="0" fillId="0" borderId="60" xfId="0" applyFont="1" applyBorder="1" applyAlignment="1">
      <alignment vertical="top" wrapText="1"/>
    </xf>
    <xf numFmtId="0" fontId="0" fillId="0" borderId="45" xfId="0" applyFont="1" applyBorder="1" applyAlignment="1">
      <alignment vertical="top" wrapText="1"/>
    </xf>
    <xf numFmtId="0" fontId="3" fillId="0" borderId="46" xfId="0" applyFont="1" applyBorder="1" applyAlignment="1">
      <alignment vertical="top"/>
    </xf>
    <xf numFmtId="0" fontId="0" fillId="0" borderId="31" xfId="0" applyFont="1" applyBorder="1" applyAlignment="1">
      <alignment vertical="top" wrapText="1"/>
    </xf>
    <xf numFmtId="0" fontId="3" fillId="0" borderId="31" xfId="0" applyFont="1" applyBorder="1" applyAlignment="1">
      <alignment vertical="top" wrapText="1"/>
    </xf>
    <xf numFmtId="0" fontId="3" fillId="0" borderId="46" xfId="0" applyFont="1" applyBorder="1" applyAlignment="1">
      <alignment vertical="top" wrapText="1"/>
    </xf>
    <xf numFmtId="0" fontId="3" fillId="0" borderId="46" xfId="0" applyFont="1" applyBorder="1" applyAlignment="1">
      <alignment horizontal="right" vertical="top"/>
    </xf>
    <xf numFmtId="44" fontId="0" fillId="0" borderId="46" xfId="0" applyNumberFormat="1" applyBorder="1" applyAlignment="1">
      <alignment/>
    </xf>
    <xf numFmtId="44" fontId="0" fillId="0" borderId="26" xfId="0" applyNumberFormat="1" applyBorder="1" applyAlignment="1">
      <alignment/>
    </xf>
    <xf numFmtId="44" fontId="0" fillId="0" borderId="31" xfId="0" applyNumberFormat="1" applyBorder="1" applyAlignment="1">
      <alignment/>
    </xf>
    <xf numFmtId="44" fontId="0" fillId="0" borderId="25" xfId="0" applyNumberFormat="1" applyBorder="1" applyAlignment="1">
      <alignment/>
    </xf>
    <xf numFmtId="44" fontId="0" fillId="0" borderId="59" xfId="0" applyNumberFormat="1" applyBorder="1" applyAlignment="1">
      <alignment/>
    </xf>
    <xf numFmtId="44" fontId="0" fillId="0" borderId="20" xfId="0" applyNumberFormat="1" applyBorder="1" applyAlignment="1">
      <alignment/>
    </xf>
    <xf numFmtId="0" fontId="3" fillId="26" borderId="19" xfId="0" applyFont="1" applyFill="1" applyBorder="1" applyAlignment="1" applyProtection="1">
      <alignment/>
      <protection locked="0"/>
    </xf>
    <xf numFmtId="44" fontId="3" fillId="27" borderId="35" xfId="55" applyFont="1" applyFill="1" applyBorder="1" applyAlignment="1">
      <alignment horizontal="center"/>
    </xf>
    <xf numFmtId="44" fontId="3" fillId="27" borderId="36" xfId="55" applyFont="1" applyFill="1" applyBorder="1" applyAlignment="1">
      <alignment horizontal="center"/>
    </xf>
    <xf numFmtId="44" fontId="3" fillId="27" borderId="37" xfId="55" applyFont="1" applyFill="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xf>
    <xf numFmtId="0" fontId="3" fillId="0" borderId="37" xfId="0" applyFont="1" applyBorder="1" applyAlignment="1">
      <alignment horizontal="center"/>
    </xf>
    <xf numFmtId="44" fontId="3" fillId="0" borderId="35" xfId="55" applyFont="1" applyFill="1" applyBorder="1" applyAlignment="1">
      <alignment horizontal="center"/>
    </xf>
    <xf numFmtId="44" fontId="3" fillId="0" borderId="36" xfId="55" applyFont="1" applyFill="1" applyBorder="1" applyAlignment="1">
      <alignment horizontal="center"/>
    </xf>
    <xf numFmtId="44" fontId="3" fillId="0" borderId="37" xfId="55" applyFont="1" applyFill="1" applyBorder="1" applyAlignment="1">
      <alignment horizontal="center"/>
    </xf>
    <xf numFmtId="44" fontId="3" fillId="0" borderId="53" xfId="55" applyFont="1" applyBorder="1" applyAlignment="1">
      <alignment horizontal="center"/>
    </xf>
    <xf numFmtId="44" fontId="3" fillId="0" borderId="17" xfId="55" applyFont="1" applyBorder="1" applyAlignment="1">
      <alignment horizontal="center"/>
    </xf>
    <xf numFmtId="44" fontId="3" fillId="0" borderId="54" xfId="55" applyFont="1" applyBorder="1" applyAlignment="1">
      <alignment horizontal="center"/>
    </xf>
    <xf numFmtId="0" fontId="0" fillId="29" borderId="53" xfId="0" applyFill="1" applyBorder="1" applyAlignment="1">
      <alignment horizontal="center"/>
    </xf>
    <xf numFmtId="0" fontId="0" fillId="29" borderId="17" xfId="0" applyFill="1" applyBorder="1" applyAlignment="1">
      <alignment horizontal="center"/>
    </xf>
    <xf numFmtId="0" fontId="0" fillId="29" borderId="54" xfId="0" applyFill="1" applyBorder="1" applyAlignment="1">
      <alignment horizontal="center"/>
    </xf>
    <xf numFmtId="44" fontId="0" fillId="28" borderId="53" xfId="55" applyFont="1" applyFill="1" applyBorder="1" applyAlignment="1">
      <alignment horizontal="center"/>
    </xf>
    <xf numFmtId="44" fontId="0" fillId="28" borderId="54" xfId="55" applyFont="1" applyFill="1" applyBorder="1" applyAlignment="1">
      <alignment horizontal="center"/>
    </xf>
    <xf numFmtId="0" fontId="0" fillId="31" borderId="53" xfId="0" applyFill="1" applyBorder="1" applyAlignment="1">
      <alignment horizontal="center"/>
    </xf>
    <xf numFmtId="0" fontId="0" fillId="31" borderId="17" xfId="0" applyFill="1" applyBorder="1" applyAlignment="1">
      <alignment horizontal="center"/>
    </xf>
    <xf numFmtId="0" fontId="0" fillId="31" borderId="54" xfId="0" applyFill="1" applyBorder="1" applyAlignment="1">
      <alignment horizontal="center"/>
    </xf>
    <xf numFmtId="0" fontId="0" fillId="32" borderId="53" xfId="0" applyFill="1" applyBorder="1" applyAlignment="1">
      <alignment horizontal="center"/>
    </xf>
    <xf numFmtId="0" fontId="0" fillId="32" borderId="17" xfId="0" applyFill="1" applyBorder="1" applyAlignment="1">
      <alignment horizontal="center"/>
    </xf>
    <xf numFmtId="0" fontId="0" fillId="32" borderId="54" xfId="0" applyFill="1" applyBorder="1" applyAlignment="1">
      <alignment horizontal="center"/>
    </xf>
  </cellXfs>
  <cellStyles count="103">
    <cellStyle name="Normal" xfId="0"/>
    <cellStyle name="%" xfId="15"/>
    <cellStyle name="]&#13;&#10;Zoomed=1&#13;&#10;Row=0&#13;&#10;Column=0&#13;&#10;Height=0&#13;&#10;Width=0&#13;&#10;FontName=FoxFont&#13;&#10;FontStyle=0&#13;&#10;FontSize=9&#13;&#10;PrtFontName=FoxPrin"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omma 2" xfId="46"/>
    <cellStyle name="Comma 2 2" xfId="47"/>
    <cellStyle name="Comma 3" xfId="48"/>
    <cellStyle name="Comma 3 2" xfId="49"/>
    <cellStyle name="Comma 4" xfId="50"/>
    <cellStyle name="Comma 5" xfId="51"/>
    <cellStyle name="Comma0" xfId="52"/>
    <cellStyle name="Contents" xfId="53"/>
    <cellStyle name="CURR" xfId="54"/>
    <cellStyle name="Currency" xfId="55"/>
    <cellStyle name="Currency [0]" xfId="56"/>
    <cellStyle name="Currency 2" xfId="57"/>
    <cellStyle name="Currency 2 2" xfId="58"/>
    <cellStyle name="Currency 3" xfId="59"/>
    <cellStyle name="Currency 3 2" xfId="60"/>
    <cellStyle name="Currency 4" xfId="61"/>
    <cellStyle name="Currency 5" xfId="62"/>
    <cellStyle name="Currency 6" xfId="63"/>
    <cellStyle name="Currency0" xfId="64"/>
    <cellStyle name="Date" xfId="65"/>
    <cellStyle name="Explanatory Text" xfId="66"/>
    <cellStyle name="Fixed" xfId="67"/>
    <cellStyle name="Good" xfId="68"/>
    <cellStyle name="Heading 1" xfId="69"/>
    <cellStyle name="Heading 2" xfId="70"/>
    <cellStyle name="Heading 3" xfId="71"/>
    <cellStyle name="Heading 4" xfId="72"/>
    <cellStyle name="Input" xfId="73"/>
    <cellStyle name="LEAName" xfId="74"/>
    <cellStyle name="Linked Cell" xfId="75"/>
    <cellStyle name="Neutral" xfId="76"/>
    <cellStyle name="Normal 2" xfId="77"/>
    <cellStyle name="Normal 2 2" xfId="78"/>
    <cellStyle name="Normal 2 3" xfId="79"/>
    <cellStyle name="Normal 2 4" xfId="80"/>
    <cellStyle name="Normal 2 5" xfId="81"/>
    <cellStyle name="Normal 3" xfId="82"/>
    <cellStyle name="Normal 3 2" xfId="83"/>
    <cellStyle name="Normal 3 3" xfId="84"/>
    <cellStyle name="Normal 4" xfId="85"/>
    <cellStyle name="Normal 4 2" xfId="86"/>
    <cellStyle name="Normal 5" xfId="87"/>
    <cellStyle name="Normal 6" xfId="88"/>
    <cellStyle name="Normal 7" xfId="89"/>
    <cellStyle name="Normal 8" xfId="90"/>
    <cellStyle name="Normaltext" xfId="91"/>
    <cellStyle name="Normgrndtot" xfId="92"/>
    <cellStyle name="Normsubtotal" xfId="93"/>
    <cellStyle name="Normtextbold" xfId="94"/>
    <cellStyle name="Normtinteger" xfId="95"/>
    <cellStyle name="Normtotal" xfId="96"/>
    <cellStyle name="Note" xfId="97"/>
    <cellStyle name="Number" xfId="98"/>
    <cellStyle name="Output" xfId="99"/>
    <cellStyle name="Output Amounts" xfId="100"/>
    <cellStyle name="Output Column Headings" xfId="101"/>
    <cellStyle name="Output Line Items" xfId="102"/>
    <cellStyle name="Output Report Heading" xfId="103"/>
    <cellStyle name="Output Report Title" xfId="104"/>
    <cellStyle name="Percent" xfId="105"/>
    <cellStyle name="Percent 2" xfId="106"/>
    <cellStyle name="Percent 2 2" xfId="107"/>
    <cellStyle name="sdso" xfId="108"/>
    <cellStyle name="Shadgrndtot" xfId="109"/>
    <cellStyle name="Shadinteger" xfId="110"/>
    <cellStyle name="Shadsubtotal" xfId="111"/>
    <cellStyle name="Shadtext" xfId="112"/>
    <cellStyle name="Shadtotal" xfId="113"/>
    <cellStyle name="Title" xfId="114"/>
    <cellStyle name="Total" xfId="115"/>
    <cellStyle name="Warning Text" xfId="11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inance\Fininfo\Estimates\Estimates%202013-14\Schools%20Budgets\Final%20Budget%202013%2014\Hillingdon%20Schools%20Budget%202013%2014%20Final%20Version%20Revised%2025.2.13.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nce\Fininfo\Estimates\Estimates%202013-14\Schools%20Budgets\Final%20Budget%202013%2014\Hillingdon%20Schools%20Budget%202013%2014%20Final%20Version%20Revised%2025.2.13.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Finance\Fininfo\Estimates\Estimates%202014-15\School%20Budgets\Modelling%20Tool%20(APT)\Final%20submission\Hillingdon%20312%20Final%20APT%20Submission%2021.1.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nance\Fininfo\Cash%20Advances\Cash%20Advance%202018-19\01%20April%2018\Cash%20Advance%20Load%20up%20April%2018%20Budgets_SD.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nance\Fininfo\Estimates\Estimates%202018-19\Schools\EYSFF\EYSFF%20Jan%2018_addidaciAVG_%20(G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Version Control"/>
      <sheetName val="Input Data"/>
      <sheetName val="12-13 LA Table"/>
      <sheetName val="12-13 Table 4"/>
      <sheetName val="12-13 Baselines"/>
      <sheetName val="Local Factors"/>
      <sheetName val="Factors"/>
      <sheetName val="New Delegation Control"/>
      <sheetName val="Control Sheet"/>
      <sheetName val="New ISB"/>
      <sheetName val="De Delegation"/>
      <sheetName val="Summary Data"/>
      <sheetName val="Pro Forma"/>
      <sheetName val="Pro Forma Commentary"/>
      <sheetName val="Look Up"/>
      <sheetName val="Chart_Data"/>
      <sheetName val="References"/>
    </sheetNames>
    <sheetDataSet>
      <sheetData sheetId="7">
        <row r="2">
          <cell r="A2" t="str">
            <v>URN</v>
          </cell>
          <cell r="B2" t="str">
            <v>LAESTAB</v>
          </cell>
          <cell r="C2" t="str">
            <v>School Name</v>
          </cell>
          <cell r="D2" t="str">
            <v>Local_Authority</v>
          </cell>
          <cell r="E2" t="str">
            <v>Phase</v>
          </cell>
          <cell r="F2" t="str">
            <v>Academy Type </v>
          </cell>
          <cell r="G2" t="str">
            <v>London Fringe</v>
          </cell>
          <cell r="H2" t="str">
            <v>NOR</v>
          </cell>
          <cell r="I2" t="str">
            <v>NOR_Primary</v>
          </cell>
          <cell r="J2" t="str">
            <v>NOR_Secondary</v>
          </cell>
          <cell r="K2" t="str">
            <v>NOR_KS3</v>
          </cell>
          <cell r="L2" t="str">
            <v>NOR_KS4</v>
          </cell>
          <cell r="M2" t="str">
            <v>13-14 Base NOR</v>
          </cell>
          <cell r="N2" t="str">
            <v>MFG NOR</v>
          </cell>
          <cell r="O2" t="str">
            <v>Reception Difference</v>
          </cell>
          <cell r="P2" t="str">
            <v>Reception Difference 2</v>
          </cell>
          <cell r="Q2" t="str">
            <v>FSM_%_PRI</v>
          </cell>
          <cell r="R2" t="str">
            <v>FSM6_%_PRI</v>
          </cell>
          <cell r="S2" t="str">
            <v>FSM_%_SEC</v>
          </cell>
          <cell r="T2" t="str">
            <v>FSM6_%_SEC</v>
          </cell>
          <cell r="U2" t="str">
            <v>IDACI_0_PRI</v>
          </cell>
          <cell r="V2" t="str">
            <v>IDACI_1_PRI</v>
          </cell>
          <cell r="W2" t="str">
            <v>IDACI_2_PRI</v>
          </cell>
          <cell r="X2" t="str">
            <v>IDACI_3_PRI</v>
          </cell>
          <cell r="Y2" t="str">
            <v>IDACI_4_PRI</v>
          </cell>
          <cell r="Z2" t="str">
            <v>IDACI_5_PRI</v>
          </cell>
          <cell r="AA2" t="str">
            <v>IDACI_6_PRI</v>
          </cell>
          <cell r="AB2" t="str">
            <v>IDACI_0_SEC</v>
          </cell>
          <cell r="AC2" t="str">
            <v>IDACI_1_SEC</v>
          </cell>
          <cell r="AD2" t="str">
            <v>IDACI_2_SEC</v>
          </cell>
          <cell r="AE2" t="str">
            <v>IDACI_3_SEC</v>
          </cell>
          <cell r="AF2" t="str">
            <v>IDACI_4_SEC</v>
          </cell>
          <cell r="AG2" t="str">
            <v>IDACI_5_SEC</v>
          </cell>
          <cell r="AH2" t="str">
            <v>IDACI_6_SEC</v>
          </cell>
          <cell r="AI2" t="str">
            <v>EAL_1_PRI</v>
          </cell>
          <cell r="AJ2" t="str">
            <v>EAL_2_PRI</v>
          </cell>
          <cell r="AK2" t="str">
            <v>EAL_3_PRI</v>
          </cell>
          <cell r="AL2" t="str">
            <v>EAL_1_SEC</v>
          </cell>
          <cell r="AM2" t="str">
            <v>EAL_2_SEC</v>
          </cell>
          <cell r="AN2" t="str">
            <v>EAL_3_SEC</v>
          </cell>
          <cell r="AO2" t="str">
            <v>LAC_X_Mar11</v>
          </cell>
          <cell r="AP2" t="str">
            <v>LAC_6_Mar11</v>
          </cell>
          <cell r="AQ2" t="str">
            <v>LAC_12_Mar11</v>
          </cell>
          <cell r="AR2" t="str">
            <v>LowAtt_%_PRI_73</v>
          </cell>
          <cell r="AS2" t="str">
            <v>LowAtt_%_PRI_78</v>
          </cell>
          <cell r="AT2" t="str">
            <v>LowAtt_%_SEC</v>
          </cell>
          <cell r="AU2" t="str">
            <v>Mobility_%_PRI</v>
          </cell>
          <cell r="AV2" t="str">
            <v>Mobility_%_SEC</v>
          </cell>
          <cell r="AW2" t="str">
            <v>Notes</v>
          </cell>
        </row>
        <row r="3">
          <cell r="A3">
            <v>102367</v>
          </cell>
        </row>
        <row r="4">
          <cell r="A4">
            <v>102368</v>
          </cell>
        </row>
        <row r="5">
          <cell r="A5">
            <v>102369</v>
          </cell>
        </row>
        <row r="6">
          <cell r="A6">
            <v>102373</v>
          </cell>
        </row>
        <row r="7">
          <cell r="A7">
            <v>102374</v>
          </cell>
        </row>
        <row r="8">
          <cell r="A8">
            <v>102375</v>
          </cell>
        </row>
        <row r="9">
          <cell r="A9">
            <v>102377</v>
          </cell>
        </row>
        <row r="10">
          <cell r="A10">
            <v>102378</v>
          </cell>
        </row>
        <row r="11">
          <cell r="A11">
            <v>102379</v>
          </cell>
        </row>
        <row r="12">
          <cell r="A12">
            <v>102380</v>
          </cell>
        </row>
        <row r="13">
          <cell r="A13">
            <v>102381</v>
          </cell>
        </row>
        <row r="14">
          <cell r="A14">
            <v>102382</v>
          </cell>
        </row>
        <row r="15">
          <cell r="A15">
            <v>102383</v>
          </cell>
        </row>
        <row r="16">
          <cell r="A16">
            <v>102384</v>
          </cell>
        </row>
        <row r="17">
          <cell r="A17">
            <v>102385</v>
          </cell>
        </row>
        <row r="18">
          <cell r="A18">
            <v>102388</v>
          </cell>
        </row>
        <row r="19">
          <cell r="A19">
            <v>102389</v>
          </cell>
        </row>
        <row r="20">
          <cell r="A20">
            <v>102390</v>
          </cell>
        </row>
        <row r="21">
          <cell r="A21">
            <v>102391</v>
          </cell>
        </row>
        <row r="22">
          <cell r="A22">
            <v>102392</v>
          </cell>
        </row>
        <row r="23">
          <cell r="A23">
            <v>102393</v>
          </cell>
        </row>
        <row r="24">
          <cell r="A24">
            <v>102394</v>
          </cell>
        </row>
        <row r="25">
          <cell r="A25">
            <v>102397</v>
          </cell>
        </row>
        <row r="26">
          <cell r="A26">
            <v>102398</v>
          </cell>
        </row>
        <row r="27">
          <cell r="A27">
            <v>102399</v>
          </cell>
        </row>
        <row r="28">
          <cell r="A28">
            <v>102400</v>
          </cell>
        </row>
        <row r="29">
          <cell r="A29">
            <v>102401</v>
          </cell>
        </row>
        <row r="30">
          <cell r="A30">
            <v>102403</v>
          </cell>
        </row>
        <row r="31">
          <cell r="A31">
            <v>102404</v>
          </cell>
        </row>
        <row r="32">
          <cell r="A32">
            <v>102405</v>
          </cell>
        </row>
        <row r="33">
          <cell r="A33">
            <v>102406</v>
          </cell>
        </row>
        <row r="34">
          <cell r="A34">
            <v>102407</v>
          </cell>
        </row>
        <row r="35">
          <cell r="A35">
            <v>102408</v>
          </cell>
        </row>
        <row r="36">
          <cell r="A36">
            <v>102409</v>
          </cell>
        </row>
        <row r="37">
          <cell r="A37">
            <v>102410</v>
          </cell>
        </row>
        <row r="38">
          <cell r="A38">
            <v>102411</v>
          </cell>
        </row>
        <row r="39">
          <cell r="A39">
            <v>102413</v>
          </cell>
        </row>
        <row r="40">
          <cell r="A40">
            <v>102414</v>
          </cell>
        </row>
        <row r="41">
          <cell r="A41">
            <v>102416</v>
          </cell>
        </row>
        <row r="42">
          <cell r="A42">
            <v>131152</v>
          </cell>
        </row>
        <row r="43">
          <cell r="A43">
            <v>131744</v>
          </cell>
        </row>
        <row r="44">
          <cell r="A44">
            <v>131638</v>
          </cell>
        </row>
        <row r="45">
          <cell r="A45">
            <v>102417</v>
          </cell>
        </row>
        <row r="46">
          <cell r="A46">
            <v>102418</v>
          </cell>
        </row>
        <row r="47">
          <cell r="A47">
            <v>102419</v>
          </cell>
        </row>
        <row r="48">
          <cell r="A48">
            <v>102420</v>
          </cell>
        </row>
        <row r="49">
          <cell r="A49">
            <v>102421</v>
          </cell>
        </row>
        <row r="50">
          <cell r="A50">
            <v>102422</v>
          </cell>
        </row>
        <row r="51">
          <cell r="A51">
            <v>102423</v>
          </cell>
        </row>
        <row r="52">
          <cell r="A52">
            <v>102424</v>
          </cell>
        </row>
        <row r="53">
          <cell r="A53">
            <v>102425</v>
          </cell>
        </row>
        <row r="54">
          <cell r="A54">
            <v>102426</v>
          </cell>
        </row>
        <row r="55">
          <cell r="A55">
            <v>117709</v>
          </cell>
        </row>
        <row r="56">
          <cell r="A56">
            <v>102430</v>
          </cell>
        </row>
        <row r="57">
          <cell r="A57">
            <v>102431</v>
          </cell>
        </row>
        <row r="58">
          <cell r="A58">
            <v>102432</v>
          </cell>
        </row>
        <row r="59">
          <cell r="A59">
            <v>102433</v>
          </cell>
        </row>
        <row r="60">
          <cell r="A60">
            <v>102434</v>
          </cell>
        </row>
        <row r="61">
          <cell r="A61">
            <v>102435</v>
          </cell>
        </row>
        <row r="62">
          <cell r="A62">
            <v>102436</v>
          </cell>
        </row>
        <row r="63">
          <cell r="A63">
            <v>102438</v>
          </cell>
        </row>
        <row r="64">
          <cell r="A64">
            <v>102439</v>
          </cell>
        </row>
        <row r="65">
          <cell r="A65">
            <v>138613</v>
          </cell>
        </row>
        <row r="66">
          <cell r="A66">
            <v>138621</v>
          </cell>
        </row>
        <row r="67">
          <cell r="A67">
            <v>133625</v>
          </cell>
        </row>
        <row r="68">
          <cell r="A68">
            <v>102449</v>
          </cell>
        </row>
        <row r="69">
          <cell r="A69">
            <v>102451</v>
          </cell>
        </row>
        <row r="70">
          <cell r="A70">
            <v>137407</v>
          </cell>
        </row>
        <row r="71">
          <cell r="A71">
            <v>136329</v>
          </cell>
        </row>
        <row r="72">
          <cell r="A72">
            <v>137633</v>
          </cell>
        </row>
        <row r="73">
          <cell r="A73">
            <v>136519</v>
          </cell>
        </row>
        <row r="74">
          <cell r="A74">
            <v>137635</v>
          </cell>
        </row>
        <row r="75">
          <cell r="A75">
            <v>136711</v>
          </cell>
        </row>
        <row r="76">
          <cell r="A76">
            <v>136768</v>
          </cell>
        </row>
        <row r="77">
          <cell r="A77">
            <v>137829</v>
          </cell>
        </row>
        <row r="78">
          <cell r="A78">
            <v>137077</v>
          </cell>
        </row>
        <row r="79">
          <cell r="A79">
            <v>137078</v>
          </cell>
        </row>
        <row r="80">
          <cell r="A80">
            <v>137925</v>
          </cell>
        </row>
        <row r="81">
          <cell r="A81">
            <v>136631</v>
          </cell>
        </row>
        <row r="82">
          <cell r="A82">
            <v>137844</v>
          </cell>
        </row>
      </sheetData>
      <sheetData sheetId="8">
        <row r="51">
          <cell r="A51" t="str">
            <v>URN</v>
          </cell>
          <cell r="B51" t="str">
            <v>LAESTAB</v>
          </cell>
          <cell r="C51" t="str">
            <v>School name</v>
          </cell>
          <cell r="D51" t="str">
            <v>NOR</v>
          </cell>
          <cell r="E51" t="str">
            <v>NOR_Primary</v>
          </cell>
          <cell r="F51" t="str">
            <v>NOR_Secondary</v>
          </cell>
          <cell r="G51" t="str">
            <v>NOR_KS3</v>
          </cell>
          <cell r="H51" t="str">
            <v>NOR_KS4</v>
          </cell>
          <cell r="I51" t="str">
            <v>FSM_%_PRI</v>
          </cell>
          <cell r="J51" t="str">
            <v>FSM6_%_PRI</v>
          </cell>
          <cell r="K51" t="str">
            <v>FSM_%_SEC</v>
          </cell>
          <cell r="L51" t="str">
            <v>FSM6_%_SEC</v>
          </cell>
          <cell r="M51" t="str">
            <v>IDACI_1_PRI</v>
          </cell>
          <cell r="N51" t="str">
            <v>IDACI_2_PRI</v>
          </cell>
          <cell r="O51" t="str">
            <v>IDACI_3_PRI</v>
          </cell>
          <cell r="P51" t="str">
            <v>IDACI_4_PRI</v>
          </cell>
          <cell r="Q51" t="str">
            <v>IDACI_5_PRI</v>
          </cell>
          <cell r="R51" t="str">
            <v>IDACI_6_PRI</v>
          </cell>
          <cell r="S51" t="str">
            <v>IDACI_1_SEC</v>
          </cell>
          <cell r="T51" t="str">
            <v>IDACI_2_SEC</v>
          </cell>
          <cell r="U51" t="str">
            <v>IDACI_3_SEC</v>
          </cell>
          <cell r="V51" t="str">
            <v>IDACI_4_SEC</v>
          </cell>
          <cell r="W51" t="str">
            <v>IDACI_5_SEC</v>
          </cell>
          <cell r="X51" t="str">
            <v>IDACI_6_SEC</v>
          </cell>
          <cell r="Y51" t="str">
            <v>EAL_1_PRI</v>
          </cell>
          <cell r="Z51" t="str">
            <v>EAL_2_PRI</v>
          </cell>
          <cell r="AA51" t="str">
            <v>EAL_3_PRI</v>
          </cell>
          <cell r="AB51" t="str">
            <v>EAL_1_SEC</v>
          </cell>
          <cell r="AC51" t="str">
            <v>EAL_2_SEC</v>
          </cell>
          <cell r="AD51" t="str">
            <v>EAL_3_SEC</v>
          </cell>
          <cell r="AE51" t="str">
            <v>LAC_X_Mar11</v>
          </cell>
          <cell r="AF51" t="str">
            <v>LAC_6_Mar11</v>
          </cell>
          <cell r="AG51" t="str">
            <v>LAC_12_Mar11</v>
          </cell>
          <cell r="AH51" t="str">
            <v>LowAtt_%_PRI_78</v>
          </cell>
          <cell r="AI51" t="str">
            <v>LowAtt_%_PRI_73</v>
          </cell>
          <cell r="AJ51" t="str">
            <v>LowAtt_%_SEC</v>
          </cell>
          <cell r="AK51" t="str">
            <v>Mobility_%_PRI</v>
          </cell>
          <cell r="AL51" t="str">
            <v>Mobility_%_SEC</v>
          </cell>
          <cell r="AM51" t="str">
            <v>Lump Sum (All)</v>
          </cell>
          <cell r="AN51" t="str">
            <v>Lump Sum (Pri)</v>
          </cell>
          <cell r="AO51" t="str">
            <v>Lump Sum (Sec)</v>
          </cell>
          <cell r="AP51" t="str">
            <v>London Fringe</v>
          </cell>
          <cell r="AQ51" t="str">
            <v>Total New Delegation</v>
          </cell>
        </row>
        <row r="52">
          <cell r="A52">
            <v>102367</v>
          </cell>
        </row>
        <row r="53">
          <cell r="A53">
            <v>102368</v>
          </cell>
        </row>
        <row r="54">
          <cell r="A54">
            <v>102369</v>
          </cell>
        </row>
        <row r="55">
          <cell r="A55">
            <v>102373</v>
          </cell>
        </row>
        <row r="56">
          <cell r="A56">
            <v>102374</v>
          </cell>
        </row>
        <row r="57">
          <cell r="A57">
            <v>102375</v>
          </cell>
        </row>
        <row r="58">
          <cell r="A58">
            <v>102377</v>
          </cell>
        </row>
        <row r="59">
          <cell r="A59">
            <v>102378</v>
          </cell>
        </row>
        <row r="60">
          <cell r="A60">
            <v>102379</v>
          </cell>
        </row>
        <row r="61">
          <cell r="A61">
            <v>102380</v>
          </cell>
        </row>
        <row r="62">
          <cell r="A62">
            <v>102381</v>
          </cell>
        </row>
        <row r="63">
          <cell r="A63">
            <v>102382</v>
          </cell>
        </row>
        <row r="64">
          <cell r="A64">
            <v>102383</v>
          </cell>
        </row>
        <row r="65">
          <cell r="A65">
            <v>102384</v>
          </cell>
        </row>
        <row r="66">
          <cell r="A66">
            <v>102385</v>
          </cell>
        </row>
        <row r="67">
          <cell r="A67">
            <v>102388</v>
          </cell>
        </row>
        <row r="68">
          <cell r="A68">
            <v>102389</v>
          </cell>
        </row>
        <row r="69">
          <cell r="A69">
            <v>102390</v>
          </cell>
        </row>
        <row r="70">
          <cell r="A70">
            <v>102391</v>
          </cell>
        </row>
        <row r="71">
          <cell r="A71">
            <v>102392</v>
          </cell>
        </row>
        <row r="72">
          <cell r="A72">
            <v>102393</v>
          </cell>
        </row>
        <row r="73">
          <cell r="A73">
            <v>102394</v>
          </cell>
        </row>
        <row r="74">
          <cell r="A74">
            <v>102397</v>
          </cell>
        </row>
        <row r="75">
          <cell r="A75">
            <v>102398</v>
          </cell>
        </row>
        <row r="76">
          <cell r="A76">
            <v>102399</v>
          </cell>
        </row>
        <row r="77">
          <cell r="A77">
            <v>102400</v>
          </cell>
        </row>
        <row r="78">
          <cell r="A78">
            <v>102401</v>
          </cell>
        </row>
        <row r="79">
          <cell r="A79">
            <v>102403</v>
          </cell>
        </row>
        <row r="80">
          <cell r="A80">
            <v>102404</v>
          </cell>
        </row>
        <row r="81">
          <cell r="A81">
            <v>102405</v>
          </cell>
        </row>
        <row r="82">
          <cell r="A82">
            <v>102406</v>
          </cell>
        </row>
        <row r="83">
          <cell r="A83">
            <v>102407</v>
          </cell>
        </row>
        <row r="84">
          <cell r="A84">
            <v>102408</v>
          </cell>
        </row>
        <row r="85">
          <cell r="A85">
            <v>102409</v>
          </cell>
        </row>
        <row r="86">
          <cell r="A86">
            <v>102410</v>
          </cell>
        </row>
        <row r="87">
          <cell r="A87">
            <v>102411</v>
          </cell>
        </row>
        <row r="88">
          <cell r="A88">
            <v>102413</v>
          </cell>
        </row>
        <row r="89">
          <cell r="A89">
            <v>102414</v>
          </cell>
        </row>
        <row r="90">
          <cell r="A90">
            <v>102416</v>
          </cell>
        </row>
        <row r="91">
          <cell r="A91">
            <v>131152</v>
          </cell>
        </row>
        <row r="92">
          <cell r="A92">
            <v>131744</v>
          </cell>
        </row>
        <row r="93">
          <cell r="A93">
            <v>131638</v>
          </cell>
        </row>
        <row r="94">
          <cell r="A94">
            <v>102417</v>
          </cell>
        </row>
        <row r="95">
          <cell r="A95">
            <v>102418</v>
          </cell>
        </row>
        <row r="96">
          <cell r="A96">
            <v>102419</v>
          </cell>
        </row>
        <row r="97">
          <cell r="A97">
            <v>102420</v>
          </cell>
        </row>
        <row r="98">
          <cell r="A98">
            <v>102421</v>
          </cell>
        </row>
        <row r="99">
          <cell r="A99">
            <v>102422</v>
          </cell>
        </row>
        <row r="100">
          <cell r="A100">
            <v>102423</v>
          </cell>
        </row>
        <row r="101">
          <cell r="A101">
            <v>102424</v>
          </cell>
        </row>
        <row r="102">
          <cell r="A102">
            <v>102425</v>
          </cell>
        </row>
        <row r="103">
          <cell r="A103">
            <v>102426</v>
          </cell>
        </row>
        <row r="104">
          <cell r="A104">
            <v>117709</v>
          </cell>
        </row>
        <row r="105">
          <cell r="A105">
            <v>102430</v>
          </cell>
        </row>
        <row r="106">
          <cell r="A106">
            <v>102431</v>
          </cell>
        </row>
        <row r="107">
          <cell r="A107">
            <v>102432</v>
          </cell>
        </row>
        <row r="108">
          <cell r="A108">
            <v>102433</v>
          </cell>
        </row>
        <row r="109">
          <cell r="A109">
            <v>102434</v>
          </cell>
        </row>
        <row r="110">
          <cell r="A110">
            <v>102435</v>
          </cell>
        </row>
        <row r="111">
          <cell r="A111">
            <v>102436</v>
          </cell>
        </row>
        <row r="112">
          <cell r="A112">
            <v>102438</v>
          </cell>
        </row>
        <row r="113">
          <cell r="A113">
            <v>102439</v>
          </cell>
        </row>
        <row r="114">
          <cell r="A114">
            <v>138613</v>
          </cell>
        </row>
        <row r="115">
          <cell r="A115">
            <v>138621</v>
          </cell>
        </row>
        <row r="116">
          <cell r="A116">
            <v>133625</v>
          </cell>
        </row>
        <row r="117">
          <cell r="A117">
            <v>102449</v>
          </cell>
        </row>
        <row r="118">
          <cell r="A118">
            <v>102451</v>
          </cell>
        </row>
        <row r="119">
          <cell r="A119">
            <v>137407</v>
          </cell>
        </row>
        <row r="120">
          <cell r="A120">
            <v>136329</v>
          </cell>
        </row>
        <row r="121">
          <cell r="A121">
            <v>137633</v>
          </cell>
        </row>
        <row r="122">
          <cell r="A122">
            <v>136519</v>
          </cell>
        </row>
        <row r="123">
          <cell r="A123">
            <v>137635</v>
          </cell>
        </row>
        <row r="124">
          <cell r="A124">
            <v>136711</v>
          </cell>
        </row>
        <row r="125">
          <cell r="A125">
            <v>136768</v>
          </cell>
        </row>
        <row r="126">
          <cell r="A126">
            <v>137829</v>
          </cell>
        </row>
        <row r="127">
          <cell r="A127">
            <v>137077</v>
          </cell>
        </row>
        <row r="128">
          <cell r="A128">
            <v>137078</v>
          </cell>
        </row>
        <row r="129">
          <cell r="A129">
            <v>137925</v>
          </cell>
        </row>
        <row r="130">
          <cell r="A130">
            <v>136631</v>
          </cell>
        </row>
        <row r="131">
          <cell r="A131">
            <v>137844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Version Control"/>
      <sheetName val="Input Data"/>
      <sheetName val="12-13 LA Table"/>
      <sheetName val="12-13 Table 4"/>
      <sheetName val="12-13 Baselines"/>
      <sheetName val="Local Factors"/>
      <sheetName val="Factors"/>
      <sheetName val="New Delegation Control"/>
      <sheetName val="Control Sheet"/>
      <sheetName val="New ISB"/>
      <sheetName val="De Delegation"/>
      <sheetName val="Summary Data"/>
      <sheetName val="Pro Forma"/>
      <sheetName val="Pro Forma Commentary"/>
      <sheetName val="Look Up"/>
      <sheetName val="Chart_Data"/>
      <sheetName val="References"/>
    </sheetNames>
    <sheetDataSet>
      <sheetData sheetId="7">
        <row r="2">
          <cell r="A2" t="str">
            <v>URN</v>
          </cell>
          <cell r="B2" t="str">
            <v>LAESTAB</v>
          </cell>
          <cell r="C2" t="str">
            <v>School Name</v>
          </cell>
          <cell r="D2" t="str">
            <v>Local_Authority</v>
          </cell>
          <cell r="E2" t="str">
            <v>Phase</v>
          </cell>
          <cell r="F2" t="str">
            <v>Academy Type </v>
          </cell>
          <cell r="G2" t="str">
            <v>London Fringe</v>
          </cell>
          <cell r="H2" t="str">
            <v>NOR</v>
          </cell>
          <cell r="I2" t="str">
            <v>NOR_Primary</v>
          </cell>
          <cell r="J2" t="str">
            <v>NOR_Secondary</v>
          </cell>
          <cell r="K2" t="str">
            <v>NOR_KS3</v>
          </cell>
          <cell r="L2" t="str">
            <v>NOR_KS4</v>
          </cell>
          <cell r="M2" t="str">
            <v>13-14 Base NOR</v>
          </cell>
          <cell r="N2" t="str">
            <v>MFG NOR</v>
          </cell>
          <cell r="O2" t="str">
            <v>Reception Difference</v>
          </cell>
          <cell r="P2" t="str">
            <v>Reception Difference 2</v>
          </cell>
          <cell r="Q2" t="str">
            <v>FSM_%_PRI</v>
          </cell>
          <cell r="R2" t="str">
            <v>FSM6_%_PRI</v>
          </cell>
          <cell r="S2" t="str">
            <v>FSM_%_SEC</v>
          </cell>
          <cell r="T2" t="str">
            <v>FSM6_%_SEC</v>
          </cell>
          <cell r="U2" t="str">
            <v>IDACI_0_PRI</v>
          </cell>
          <cell r="V2" t="str">
            <v>IDACI_1_PRI</v>
          </cell>
          <cell r="W2" t="str">
            <v>IDACI_2_PRI</v>
          </cell>
          <cell r="X2" t="str">
            <v>IDACI_3_PRI</v>
          </cell>
          <cell r="Y2" t="str">
            <v>IDACI_4_PRI</v>
          </cell>
          <cell r="Z2" t="str">
            <v>IDACI_5_PRI</v>
          </cell>
          <cell r="AA2" t="str">
            <v>IDACI_6_PRI</v>
          </cell>
          <cell r="AB2" t="str">
            <v>IDACI_0_SEC</v>
          </cell>
          <cell r="AC2" t="str">
            <v>IDACI_1_SEC</v>
          </cell>
          <cell r="AD2" t="str">
            <v>IDACI_2_SEC</v>
          </cell>
          <cell r="AE2" t="str">
            <v>IDACI_3_SEC</v>
          </cell>
          <cell r="AF2" t="str">
            <v>IDACI_4_SEC</v>
          </cell>
          <cell r="AG2" t="str">
            <v>IDACI_5_SEC</v>
          </cell>
          <cell r="AH2" t="str">
            <v>IDACI_6_SEC</v>
          </cell>
          <cell r="AI2" t="str">
            <v>EAL_1_PRI</v>
          </cell>
          <cell r="AJ2" t="str">
            <v>EAL_2_PRI</v>
          </cell>
          <cell r="AK2" t="str">
            <v>EAL_3_PRI</v>
          </cell>
          <cell r="AL2" t="str">
            <v>EAL_1_SEC</v>
          </cell>
          <cell r="AM2" t="str">
            <v>EAL_2_SEC</v>
          </cell>
          <cell r="AN2" t="str">
            <v>EAL_3_SEC</v>
          </cell>
          <cell r="AO2" t="str">
            <v>LAC_X_Mar11</v>
          </cell>
          <cell r="AP2" t="str">
            <v>LAC_6_Mar11</v>
          </cell>
          <cell r="AQ2" t="str">
            <v>LAC_12_Mar11</v>
          </cell>
          <cell r="AR2" t="str">
            <v>LowAtt_%_PRI_73</v>
          </cell>
          <cell r="AS2" t="str">
            <v>LowAtt_%_PRI_78</v>
          </cell>
          <cell r="AT2" t="str">
            <v>LowAtt_%_SEC</v>
          </cell>
          <cell r="AU2" t="str">
            <v>Mobility_%_PRI</v>
          </cell>
          <cell r="AV2" t="str">
            <v>Mobility_%_SEC</v>
          </cell>
          <cell r="AW2" t="str">
            <v>Notes</v>
          </cell>
        </row>
        <row r="3">
          <cell r="A3">
            <v>102367</v>
          </cell>
        </row>
        <row r="4">
          <cell r="A4">
            <v>102368</v>
          </cell>
        </row>
        <row r="5">
          <cell r="A5">
            <v>102369</v>
          </cell>
        </row>
        <row r="6">
          <cell r="A6">
            <v>102373</v>
          </cell>
        </row>
        <row r="7">
          <cell r="A7">
            <v>102374</v>
          </cell>
        </row>
        <row r="8">
          <cell r="A8">
            <v>102375</v>
          </cell>
        </row>
        <row r="9">
          <cell r="A9">
            <v>102377</v>
          </cell>
        </row>
        <row r="10">
          <cell r="A10">
            <v>102378</v>
          </cell>
        </row>
        <row r="11">
          <cell r="A11">
            <v>102379</v>
          </cell>
        </row>
        <row r="12">
          <cell r="A12">
            <v>102380</v>
          </cell>
        </row>
        <row r="13">
          <cell r="A13">
            <v>102381</v>
          </cell>
        </row>
        <row r="14">
          <cell r="A14">
            <v>102382</v>
          </cell>
        </row>
        <row r="15">
          <cell r="A15">
            <v>102383</v>
          </cell>
        </row>
        <row r="16">
          <cell r="A16">
            <v>102384</v>
          </cell>
        </row>
        <row r="17">
          <cell r="A17">
            <v>102385</v>
          </cell>
        </row>
        <row r="18">
          <cell r="A18">
            <v>102388</v>
          </cell>
        </row>
        <row r="19">
          <cell r="A19">
            <v>102389</v>
          </cell>
        </row>
        <row r="20">
          <cell r="A20">
            <v>102390</v>
          </cell>
        </row>
        <row r="21">
          <cell r="A21">
            <v>102391</v>
          </cell>
        </row>
        <row r="22">
          <cell r="A22">
            <v>102392</v>
          </cell>
        </row>
        <row r="23">
          <cell r="A23">
            <v>102393</v>
          </cell>
        </row>
        <row r="24">
          <cell r="A24">
            <v>102394</v>
          </cell>
        </row>
        <row r="25">
          <cell r="A25">
            <v>102397</v>
          </cell>
        </row>
        <row r="26">
          <cell r="A26">
            <v>102398</v>
          </cell>
        </row>
        <row r="27">
          <cell r="A27">
            <v>102399</v>
          </cell>
        </row>
        <row r="28">
          <cell r="A28">
            <v>102400</v>
          </cell>
        </row>
        <row r="29">
          <cell r="A29">
            <v>102401</v>
          </cell>
        </row>
        <row r="30">
          <cell r="A30">
            <v>102403</v>
          </cell>
        </row>
        <row r="31">
          <cell r="A31">
            <v>102404</v>
          </cell>
        </row>
        <row r="32">
          <cell r="A32">
            <v>102405</v>
          </cell>
        </row>
        <row r="33">
          <cell r="A33">
            <v>102406</v>
          </cell>
        </row>
        <row r="34">
          <cell r="A34">
            <v>102407</v>
          </cell>
        </row>
        <row r="35">
          <cell r="A35">
            <v>102408</v>
          </cell>
        </row>
        <row r="36">
          <cell r="A36">
            <v>102409</v>
          </cell>
        </row>
        <row r="37">
          <cell r="A37">
            <v>102410</v>
          </cell>
        </row>
        <row r="38">
          <cell r="A38">
            <v>102411</v>
          </cell>
        </row>
        <row r="39">
          <cell r="A39">
            <v>102413</v>
          </cell>
        </row>
        <row r="40">
          <cell r="A40">
            <v>102414</v>
          </cell>
        </row>
        <row r="41">
          <cell r="A41">
            <v>102416</v>
          </cell>
        </row>
        <row r="42">
          <cell r="A42">
            <v>131152</v>
          </cell>
        </row>
        <row r="43">
          <cell r="A43">
            <v>131744</v>
          </cell>
        </row>
        <row r="44">
          <cell r="A44">
            <v>131638</v>
          </cell>
        </row>
        <row r="45">
          <cell r="A45">
            <v>102417</v>
          </cell>
        </row>
        <row r="46">
          <cell r="A46">
            <v>102418</v>
          </cell>
        </row>
        <row r="47">
          <cell r="A47">
            <v>102419</v>
          </cell>
        </row>
        <row r="48">
          <cell r="A48">
            <v>102420</v>
          </cell>
        </row>
        <row r="49">
          <cell r="A49">
            <v>102421</v>
          </cell>
        </row>
        <row r="50">
          <cell r="A50">
            <v>102422</v>
          </cell>
        </row>
        <row r="51">
          <cell r="A51">
            <v>102423</v>
          </cell>
        </row>
        <row r="52">
          <cell r="A52">
            <v>102424</v>
          </cell>
        </row>
        <row r="53">
          <cell r="A53">
            <v>102425</v>
          </cell>
        </row>
        <row r="54">
          <cell r="A54">
            <v>102426</v>
          </cell>
        </row>
        <row r="55">
          <cell r="A55">
            <v>117709</v>
          </cell>
        </row>
        <row r="56">
          <cell r="A56">
            <v>102430</v>
          </cell>
        </row>
        <row r="57">
          <cell r="A57">
            <v>102431</v>
          </cell>
        </row>
        <row r="58">
          <cell r="A58">
            <v>102432</v>
          </cell>
        </row>
        <row r="59">
          <cell r="A59">
            <v>102433</v>
          </cell>
        </row>
        <row r="60">
          <cell r="A60">
            <v>102434</v>
          </cell>
        </row>
        <row r="61">
          <cell r="A61">
            <v>102435</v>
          </cell>
        </row>
        <row r="62">
          <cell r="A62">
            <v>102436</v>
          </cell>
        </row>
        <row r="63">
          <cell r="A63">
            <v>102438</v>
          </cell>
        </row>
        <row r="64">
          <cell r="A64">
            <v>102439</v>
          </cell>
        </row>
        <row r="65">
          <cell r="A65">
            <v>138613</v>
          </cell>
        </row>
        <row r="66">
          <cell r="A66">
            <v>138621</v>
          </cell>
        </row>
        <row r="67">
          <cell r="A67">
            <v>133625</v>
          </cell>
        </row>
        <row r="68">
          <cell r="A68">
            <v>102449</v>
          </cell>
        </row>
        <row r="69">
          <cell r="A69">
            <v>102451</v>
          </cell>
        </row>
        <row r="70">
          <cell r="A70">
            <v>137407</v>
          </cell>
        </row>
        <row r="71">
          <cell r="A71">
            <v>136329</v>
          </cell>
        </row>
        <row r="72">
          <cell r="A72">
            <v>137633</v>
          </cell>
        </row>
        <row r="73">
          <cell r="A73">
            <v>136519</v>
          </cell>
        </row>
        <row r="74">
          <cell r="A74">
            <v>137635</v>
          </cell>
        </row>
        <row r="75">
          <cell r="A75">
            <v>136711</v>
          </cell>
        </row>
        <row r="76">
          <cell r="A76">
            <v>136768</v>
          </cell>
        </row>
        <row r="77">
          <cell r="A77">
            <v>137829</v>
          </cell>
        </row>
        <row r="78">
          <cell r="A78">
            <v>137077</v>
          </cell>
        </row>
        <row r="79">
          <cell r="A79">
            <v>137078</v>
          </cell>
        </row>
        <row r="80">
          <cell r="A80">
            <v>137925</v>
          </cell>
        </row>
        <row r="81">
          <cell r="A81">
            <v>136631</v>
          </cell>
        </row>
        <row r="82">
          <cell r="A82">
            <v>137844</v>
          </cell>
        </row>
      </sheetData>
      <sheetData sheetId="8">
        <row r="51">
          <cell r="A51" t="str">
            <v>URN</v>
          </cell>
          <cell r="B51" t="str">
            <v>LAESTAB</v>
          </cell>
          <cell r="C51" t="str">
            <v>School name</v>
          </cell>
          <cell r="D51" t="str">
            <v>NOR</v>
          </cell>
          <cell r="E51" t="str">
            <v>NOR_Primary</v>
          </cell>
          <cell r="F51" t="str">
            <v>NOR_Secondary</v>
          </cell>
          <cell r="G51" t="str">
            <v>NOR_KS3</v>
          </cell>
          <cell r="H51" t="str">
            <v>NOR_KS4</v>
          </cell>
          <cell r="I51" t="str">
            <v>FSM_%_PRI</v>
          </cell>
          <cell r="J51" t="str">
            <v>FSM6_%_PRI</v>
          </cell>
          <cell r="K51" t="str">
            <v>FSM_%_SEC</v>
          </cell>
          <cell r="L51" t="str">
            <v>FSM6_%_SEC</v>
          </cell>
          <cell r="M51" t="str">
            <v>IDACI_1_PRI</v>
          </cell>
          <cell r="N51" t="str">
            <v>IDACI_2_PRI</v>
          </cell>
          <cell r="O51" t="str">
            <v>IDACI_3_PRI</v>
          </cell>
          <cell r="P51" t="str">
            <v>IDACI_4_PRI</v>
          </cell>
          <cell r="Q51" t="str">
            <v>IDACI_5_PRI</v>
          </cell>
          <cell r="R51" t="str">
            <v>IDACI_6_PRI</v>
          </cell>
          <cell r="S51" t="str">
            <v>IDACI_1_SEC</v>
          </cell>
          <cell r="T51" t="str">
            <v>IDACI_2_SEC</v>
          </cell>
          <cell r="U51" t="str">
            <v>IDACI_3_SEC</v>
          </cell>
          <cell r="V51" t="str">
            <v>IDACI_4_SEC</v>
          </cell>
          <cell r="W51" t="str">
            <v>IDACI_5_SEC</v>
          </cell>
          <cell r="X51" t="str">
            <v>IDACI_6_SEC</v>
          </cell>
          <cell r="Y51" t="str">
            <v>EAL_1_PRI</v>
          </cell>
          <cell r="Z51" t="str">
            <v>EAL_2_PRI</v>
          </cell>
          <cell r="AA51" t="str">
            <v>EAL_3_PRI</v>
          </cell>
          <cell r="AB51" t="str">
            <v>EAL_1_SEC</v>
          </cell>
          <cell r="AC51" t="str">
            <v>EAL_2_SEC</v>
          </cell>
          <cell r="AD51" t="str">
            <v>EAL_3_SEC</v>
          </cell>
          <cell r="AE51" t="str">
            <v>LAC_X_Mar11</v>
          </cell>
          <cell r="AF51" t="str">
            <v>LAC_6_Mar11</v>
          </cell>
          <cell r="AG51" t="str">
            <v>LAC_12_Mar11</v>
          </cell>
          <cell r="AH51" t="str">
            <v>LowAtt_%_PRI_78</v>
          </cell>
          <cell r="AI51" t="str">
            <v>LowAtt_%_PRI_73</v>
          </cell>
          <cell r="AJ51" t="str">
            <v>LowAtt_%_SEC</v>
          </cell>
          <cell r="AK51" t="str">
            <v>Mobility_%_PRI</v>
          </cell>
          <cell r="AL51" t="str">
            <v>Mobility_%_SEC</v>
          </cell>
          <cell r="AM51" t="str">
            <v>Lump Sum (All)</v>
          </cell>
          <cell r="AN51" t="str">
            <v>Lump Sum (Pri)</v>
          </cell>
          <cell r="AO51" t="str">
            <v>Lump Sum (Sec)</v>
          </cell>
          <cell r="AP51" t="str">
            <v>London Fringe</v>
          </cell>
          <cell r="AQ51" t="str">
            <v>Total New Delegation</v>
          </cell>
        </row>
        <row r="52">
          <cell r="A52">
            <v>102367</v>
          </cell>
        </row>
        <row r="53">
          <cell r="A53">
            <v>102368</v>
          </cell>
        </row>
        <row r="54">
          <cell r="A54">
            <v>102369</v>
          </cell>
        </row>
        <row r="55">
          <cell r="A55">
            <v>102373</v>
          </cell>
        </row>
        <row r="56">
          <cell r="A56">
            <v>102374</v>
          </cell>
        </row>
        <row r="57">
          <cell r="A57">
            <v>102375</v>
          </cell>
        </row>
        <row r="58">
          <cell r="A58">
            <v>102377</v>
          </cell>
        </row>
        <row r="59">
          <cell r="A59">
            <v>102378</v>
          </cell>
        </row>
        <row r="60">
          <cell r="A60">
            <v>102379</v>
          </cell>
        </row>
        <row r="61">
          <cell r="A61">
            <v>102380</v>
          </cell>
        </row>
        <row r="62">
          <cell r="A62">
            <v>102381</v>
          </cell>
        </row>
        <row r="63">
          <cell r="A63">
            <v>102382</v>
          </cell>
        </row>
        <row r="64">
          <cell r="A64">
            <v>102383</v>
          </cell>
        </row>
        <row r="65">
          <cell r="A65">
            <v>102384</v>
          </cell>
        </row>
        <row r="66">
          <cell r="A66">
            <v>102385</v>
          </cell>
        </row>
        <row r="67">
          <cell r="A67">
            <v>102388</v>
          </cell>
        </row>
        <row r="68">
          <cell r="A68">
            <v>102389</v>
          </cell>
        </row>
        <row r="69">
          <cell r="A69">
            <v>102390</v>
          </cell>
        </row>
        <row r="70">
          <cell r="A70">
            <v>102391</v>
          </cell>
        </row>
        <row r="71">
          <cell r="A71">
            <v>102392</v>
          </cell>
        </row>
        <row r="72">
          <cell r="A72">
            <v>102393</v>
          </cell>
        </row>
        <row r="73">
          <cell r="A73">
            <v>102394</v>
          </cell>
        </row>
        <row r="74">
          <cell r="A74">
            <v>102397</v>
          </cell>
        </row>
        <row r="75">
          <cell r="A75">
            <v>102398</v>
          </cell>
        </row>
        <row r="76">
          <cell r="A76">
            <v>102399</v>
          </cell>
        </row>
        <row r="77">
          <cell r="A77">
            <v>102400</v>
          </cell>
        </row>
        <row r="78">
          <cell r="A78">
            <v>102401</v>
          </cell>
        </row>
        <row r="79">
          <cell r="A79">
            <v>102403</v>
          </cell>
        </row>
        <row r="80">
          <cell r="A80">
            <v>102404</v>
          </cell>
        </row>
        <row r="81">
          <cell r="A81">
            <v>102405</v>
          </cell>
        </row>
        <row r="82">
          <cell r="A82">
            <v>102406</v>
          </cell>
        </row>
        <row r="83">
          <cell r="A83">
            <v>102407</v>
          </cell>
        </row>
        <row r="84">
          <cell r="A84">
            <v>102408</v>
          </cell>
        </row>
        <row r="85">
          <cell r="A85">
            <v>102409</v>
          </cell>
        </row>
        <row r="86">
          <cell r="A86">
            <v>102410</v>
          </cell>
        </row>
        <row r="87">
          <cell r="A87">
            <v>102411</v>
          </cell>
        </row>
        <row r="88">
          <cell r="A88">
            <v>102413</v>
          </cell>
        </row>
        <row r="89">
          <cell r="A89">
            <v>102414</v>
          </cell>
        </row>
        <row r="90">
          <cell r="A90">
            <v>102416</v>
          </cell>
        </row>
        <row r="91">
          <cell r="A91">
            <v>131152</v>
          </cell>
        </row>
        <row r="92">
          <cell r="A92">
            <v>131744</v>
          </cell>
        </row>
        <row r="93">
          <cell r="A93">
            <v>131638</v>
          </cell>
        </row>
        <row r="94">
          <cell r="A94">
            <v>102417</v>
          </cell>
        </row>
        <row r="95">
          <cell r="A95">
            <v>102418</v>
          </cell>
        </row>
        <row r="96">
          <cell r="A96">
            <v>102419</v>
          </cell>
        </row>
        <row r="97">
          <cell r="A97">
            <v>102420</v>
          </cell>
        </row>
        <row r="98">
          <cell r="A98">
            <v>102421</v>
          </cell>
        </row>
        <row r="99">
          <cell r="A99">
            <v>102422</v>
          </cell>
        </row>
        <row r="100">
          <cell r="A100">
            <v>102423</v>
          </cell>
        </row>
        <row r="101">
          <cell r="A101">
            <v>102424</v>
          </cell>
        </row>
        <row r="102">
          <cell r="A102">
            <v>102425</v>
          </cell>
        </row>
        <row r="103">
          <cell r="A103">
            <v>102426</v>
          </cell>
        </row>
        <row r="104">
          <cell r="A104">
            <v>117709</v>
          </cell>
        </row>
        <row r="105">
          <cell r="A105">
            <v>102430</v>
          </cell>
        </row>
        <row r="106">
          <cell r="A106">
            <v>102431</v>
          </cell>
        </row>
        <row r="107">
          <cell r="A107">
            <v>102432</v>
          </cell>
        </row>
        <row r="108">
          <cell r="A108">
            <v>102433</v>
          </cell>
        </row>
        <row r="109">
          <cell r="A109">
            <v>102434</v>
          </cell>
        </row>
        <row r="110">
          <cell r="A110">
            <v>102435</v>
          </cell>
        </row>
        <row r="111">
          <cell r="A111">
            <v>102436</v>
          </cell>
        </row>
        <row r="112">
          <cell r="A112">
            <v>102438</v>
          </cell>
        </row>
        <row r="113">
          <cell r="A113">
            <v>102439</v>
          </cell>
        </row>
        <row r="114">
          <cell r="A114">
            <v>138613</v>
          </cell>
        </row>
        <row r="115">
          <cell r="A115">
            <v>138621</v>
          </cell>
        </row>
        <row r="116">
          <cell r="A116">
            <v>133625</v>
          </cell>
        </row>
        <row r="117">
          <cell r="A117">
            <v>102449</v>
          </cell>
        </row>
        <row r="118">
          <cell r="A118">
            <v>102451</v>
          </cell>
        </row>
        <row r="119">
          <cell r="A119">
            <v>137407</v>
          </cell>
        </row>
        <row r="120">
          <cell r="A120">
            <v>136329</v>
          </cell>
        </row>
        <row r="121">
          <cell r="A121">
            <v>137633</v>
          </cell>
        </row>
        <row r="122">
          <cell r="A122">
            <v>136519</v>
          </cell>
        </row>
        <row r="123">
          <cell r="A123">
            <v>137635</v>
          </cell>
        </row>
        <row r="124">
          <cell r="A124">
            <v>136711</v>
          </cell>
        </row>
        <row r="125">
          <cell r="A125">
            <v>136768</v>
          </cell>
        </row>
        <row r="126">
          <cell r="A126">
            <v>137829</v>
          </cell>
        </row>
        <row r="127">
          <cell r="A127">
            <v>137077</v>
          </cell>
        </row>
        <row r="128">
          <cell r="A128">
            <v>137078</v>
          </cell>
        </row>
        <row r="129">
          <cell r="A129">
            <v>137925</v>
          </cell>
        </row>
        <row r="130">
          <cell r="A130">
            <v>136631</v>
          </cell>
        </row>
        <row r="131">
          <cell r="A131">
            <v>137844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ont Sheet"/>
      <sheetName val="Cover"/>
      <sheetName val="Schools Block Data"/>
      <sheetName val="13-14 submitted Baselines"/>
      <sheetName val="Local Factors"/>
      <sheetName val="Inputs &amp; Adjustments"/>
      <sheetName val="Adjusted Factors"/>
      <sheetName val="13-14 final baselines"/>
      <sheetName val="Commentary"/>
      <sheetName val="Proforma"/>
      <sheetName val="De Delegation"/>
      <sheetName val="New ISB"/>
      <sheetName val="School level SB"/>
      <sheetName val="Recoupment"/>
      <sheetName val="Validation sheet"/>
    </sheetNames>
    <sheetDataSet>
      <sheetData sheetId="9">
        <row r="9">
          <cell r="E9"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se+Growth-EdFunc"/>
      <sheetName val="Pupil Premuim"/>
      <sheetName val="PE+Sports"/>
      <sheetName val="EYFSS - DO NOT USE"/>
      <sheetName val="SEN"/>
      <sheetName val="Planned Place"/>
      <sheetName val="UIFSM"/>
      <sheetName val="16-19"/>
      <sheetName val="Top-up"/>
      <sheetName val="Sheet1"/>
      <sheetName val="Special &amp; SRP top-up"/>
      <sheetName val="Additional 15 Hours"/>
      <sheetName val="Sheet2"/>
    </sheetNames>
    <sheetDataSet>
      <sheetData sheetId="1">
        <row r="1">
          <cell r="B1" t="str">
            <v>Depr</v>
          </cell>
          <cell r="K1" t="str">
            <v>Service </v>
          </cell>
        </row>
        <row r="2">
          <cell r="B2">
            <v>3300</v>
          </cell>
          <cell r="C2" t="str">
            <v>Primary</v>
          </cell>
          <cell r="D2" t="str">
            <v>B.W.I. CofE </v>
          </cell>
          <cell r="E2" t="str">
            <v>Pupil Premium</v>
          </cell>
          <cell r="F2">
            <v>-17160</v>
          </cell>
          <cell r="G2">
            <v>71280</v>
          </cell>
          <cell r="K2" t="str">
            <v>DfE Number</v>
          </cell>
          <cell r="L2" t="str">
            <v>School type</v>
          </cell>
          <cell r="M2" t="str">
            <v>School Name</v>
          </cell>
          <cell r="N2" t="str">
            <v>Description</v>
          </cell>
          <cell r="O2" t="str">
            <v>Total Funding</v>
          </cell>
          <cell r="P2" t="str">
            <v>Total Funding</v>
          </cell>
          <cell r="T2" t="str">
            <v>Pupil Premium - Post LAC Funding 2017-18</v>
          </cell>
        </row>
        <row r="3">
          <cell r="B3">
            <v>3401</v>
          </cell>
          <cell r="C3" t="str">
            <v>Primary</v>
          </cell>
          <cell r="D3" t="str">
            <v>Botwell House Catholic</v>
          </cell>
          <cell r="E3" t="str">
            <v>Pupil Premium</v>
          </cell>
          <cell r="F3">
            <v>29040</v>
          </cell>
          <cell r="G3">
            <v>142560</v>
          </cell>
          <cell r="K3">
            <v>3300</v>
          </cell>
          <cell r="L3" t="str">
            <v>Primary</v>
          </cell>
          <cell r="M3" t="str">
            <v>B.W.I. CofE </v>
          </cell>
          <cell r="N3" t="str">
            <v>Pupil Premium - Service Children </v>
          </cell>
          <cell r="O3">
            <v>-3600</v>
          </cell>
          <cell r="P3">
            <v>9300</v>
          </cell>
        </row>
        <row r="4">
          <cell r="B4">
            <v>2003</v>
          </cell>
          <cell r="C4" t="str">
            <v>Primary</v>
          </cell>
          <cell r="D4" t="str">
            <v>Bourne </v>
          </cell>
          <cell r="E4" t="str">
            <v>Pupil Premium</v>
          </cell>
          <cell r="F4">
            <v>-1320</v>
          </cell>
          <cell r="G4">
            <v>69960</v>
          </cell>
          <cell r="K4">
            <v>2003</v>
          </cell>
          <cell r="L4" t="str">
            <v>Primary</v>
          </cell>
          <cell r="M4" t="str">
            <v>Bourne </v>
          </cell>
          <cell r="N4" t="str">
            <v>Pupil Premium - Service Children </v>
          </cell>
          <cell r="O4">
            <v>-300</v>
          </cell>
          <cell r="P4">
            <v>300</v>
          </cell>
          <cell r="T4" t="str">
            <v>DfE Number</v>
          </cell>
          <cell r="U4" t="str">
            <v>School type</v>
          </cell>
          <cell r="V4" t="str">
            <v>School Name</v>
          </cell>
          <cell r="W4" t="str">
            <v>Line</v>
          </cell>
          <cell r="X4" t="str">
            <v>Description</v>
          </cell>
          <cell r="Y4" t="str">
            <v>Number of Children</v>
          </cell>
          <cell r="Z4" t="str">
            <v>Total Revised Rate</v>
          </cell>
        </row>
        <row r="5">
          <cell r="B5">
            <v>2084</v>
          </cell>
          <cell r="C5" t="str">
            <v>Primary</v>
          </cell>
          <cell r="D5" t="str">
            <v>Cherry Lane </v>
          </cell>
          <cell r="E5" t="str">
            <v>Pupil Premium</v>
          </cell>
          <cell r="F5">
            <v>-9900</v>
          </cell>
          <cell r="G5">
            <v>283800</v>
          </cell>
          <cell r="K5">
            <v>2012</v>
          </cell>
          <cell r="L5" t="str">
            <v>Primary</v>
          </cell>
          <cell r="M5" t="str">
            <v>Coteford Infants</v>
          </cell>
          <cell r="N5" t="str">
            <v>Pupil Premium - Service Children </v>
          </cell>
          <cell r="O5">
            <v>600</v>
          </cell>
          <cell r="P5">
            <v>2100</v>
          </cell>
          <cell r="T5">
            <v>3300</v>
          </cell>
          <cell r="U5" t="str">
            <v>Primary</v>
          </cell>
          <cell r="V5" t="str">
            <v>B.W.I. CofE </v>
          </cell>
          <cell r="W5">
            <v>88</v>
          </cell>
          <cell r="X5" t="str">
            <v>Pupil Premium - Post LAC</v>
          </cell>
          <cell r="Y5">
            <v>1</v>
          </cell>
          <cell r="Z5">
            <v>2300</v>
          </cell>
        </row>
        <row r="6">
          <cell r="B6">
            <v>2010</v>
          </cell>
          <cell r="C6" t="str">
            <v>Primary</v>
          </cell>
          <cell r="D6" t="str">
            <v>Colham Manor </v>
          </cell>
          <cell r="E6" t="str">
            <v>Pupil Premium</v>
          </cell>
          <cell r="F6">
            <v>21120</v>
          </cell>
          <cell r="G6">
            <v>339240</v>
          </cell>
          <cell r="K6">
            <v>2016</v>
          </cell>
          <cell r="L6" t="str">
            <v>Primary</v>
          </cell>
          <cell r="M6" t="str">
            <v>Deanesfield </v>
          </cell>
          <cell r="N6" t="str">
            <v>Pupil Premium - Service Children </v>
          </cell>
          <cell r="O6">
            <v>600</v>
          </cell>
          <cell r="P6">
            <v>600</v>
          </cell>
          <cell r="T6">
            <v>2084</v>
          </cell>
          <cell r="U6" t="str">
            <v>Primary</v>
          </cell>
          <cell r="V6" t="str">
            <v>Cherry Lane </v>
          </cell>
          <cell r="W6">
            <v>88</v>
          </cell>
          <cell r="X6" t="str">
            <v>Pupil Premium - Post LAC</v>
          </cell>
          <cell r="Y6">
            <v>6</v>
          </cell>
          <cell r="Z6">
            <v>13800</v>
          </cell>
        </row>
        <row r="7">
          <cell r="B7">
            <v>2012</v>
          </cell>
          <cell r="C7" t="str">
            <v>Primary</v>
          </cell>
          <cell r="D7" t="str">
            <v>Coteford Infants</v>
          </cell>
          <cell r="E7" t="str">
            <v>Pupil Premium</v>
          </cell>
          <cell r="F7">
            <v>11880</v>
          </cell>
          <cell r="G7">
            <v>63360</v>
          </cell>
          <cell r="K7">
            <v>2019</v>
          </cell>
          <cell r="L7" t="str">
            <v>Primary</v>
          </cell>
          <cell r="M7" t="str">
            <v>Field End Infant</v>
          </cell>
          <cell r="N7" t="str">
            <v>Pupil Premium - Service Children </v>
          </cell>
          <cell r="O7">
            <v>-300</v>
          </cell>
          <cell r="P7">
            <v>0</v>
          </cell>
          <cell r="T7">
            <v>2010</v>
          </cell>
          <cell r="U7" t="str">
            <v>Primary</v>
          </cell>
          <cell r="V7" t="str">
            <v>Colham Manor </v>
          </cell>
          <cell r="W7">
            <v>88</v>
          </cell>
          <cell r="X7" t="str">
            <v>Pupil Premium - Post LAC</v>
          </cell>
          <cell r="Y7">
            <v>1</v>
          </cell>
          <cell r="Z7">
            <v>2300</v>
          </cell>
        </row>
        <row r="8">
          <cell r="B8">
            <v>2016</v>
          </cell>
          <cell r="C8" t="str">
            <v>Primary</v>
          </cell>
          <cell r="D8" t="str">
            <v>Deanesfield </v>
          </cell>
          <cell r="E8" t="str">
            <v>Pupil Premium</v>
          </cell>
          <cell r="F8">
            <v>184800</v>
          </cell>
          <cell r="G8">
            <v>184800</v>
          </cell>
          <cell r="K8">
            <v>2076</v>
          </cell>
          <cell r="L8" t="str">
            <v>Primary</v>
          </cell>
          <cell r="M8" t="str">
            <v>Frithwood</v>
          </cell>
          <cell r="N8" t="str">
            <v>Pupil Premium - Service Children </v>
          </cell>
          <cell r="O8">
            <v>900</v>
          </cell>
          <cell r="P8">
            <v>6300</v>
          </cell>
          <cell r="T8">
            <v>2012</v>
          </cell>
          <cell r="U8" t="str">
            <v>Primary</v>
          </cell>
          <cell r="V8" t="str">
            <v>Coteford Infants</v>
          </cell>
          <cell r="W8">
            <v>88</v>
          </cell>
          <cell r="X8" t="str">
            <v>Pupil Premium - Post LAC</v>
          </cell>
          <cell r="Y8">
            <v>3</v>
          </cell>
          <cell r="Z8">
            <v>6900</v>
          </cell>
        </row>
        <row r="9">
          <cell r="B9">
            <v>3307</v>
          </cell>
          <cell r="C9" t="str">
            <v>Primary</v>
          </cell>
          <cell r="D9" t="str">
            <v>Dr Tripletts CofE</v>
          </cell>
          <cell r="E9" t="str">
            <v>Pupil Premium</v>
          </cell>
          <cell r="F9">
            <v>-19800</v>
          </cell>
          <cell r="G9">
            <v>92400</v>
          </cell>
          <cell r="K9">
            <v>2020</v>
          </cell>
          <cell r="L9" t="str">
            <v>Primary</v>
          </cell>
          <cell r="M9" t="str">
            <v>Glebe Primary</v>
          </cell>
          <cell r="N9" t="str">
            <v>Pupil Premium - Service Children </v>
          </cell>
          <cell r="O9">
            <v>-5100</v>
          </cell>
          <cell r="P9">
            <v>11400</v>
          </cell>
          <cell r="T9">
            <v>3307</v>
          </cell>
          <cell r="U9" t="str">
            <v>Primary</v>
          </cell>
          <cell r="V9" t="str">
            <v>Dr Tripletts CofE</v>
          </cell>
          <cell r="W9">
            <v>88</v>
          </cell>
          <cell r="X9" t="str">
            <v>Pupil Premium - Post LAC</v>
          </cell>
          <cell r="Y9">
            <v>5</v>
          </cell>
          <cell r="Z9">
            <v>11500</v>
          </cell>
        </row>
        <row r="10">
          <cell r="B10">
            <v>2019</v>
          </cell>
          <cell r="C10" t="str">
            <v>Primary</v>
          </cell>
          <cell r="D10" t="str">
            <v>Field End Infant</v>
          </cell>
          <cell r="E10" t="str">
            <v>Pupil Premium</v>
          </cell>
          <cell r="F10">
            <v>58080</v>
          </cell>
          <cell r="G10">
            <v>58080</v>
          </cell>
          <cell r="K10">
            <v>2024</v>
          </cell>
          <cell r="L10" t="str">
            <v>Primary</v>
          </cell>
          <cell r="M10" t="str">
            <v>Harefield Infant</v>
          </cell>
          <cell r="N10" t="str">
            <v>Pupil Premium - Service Children </v>
          </cell>
          <cell r="O10">
            <v>300</v>
          </cell>
          <cell r="P10">
            <v>300</v>
          </cell>
          <cell r="T10">
            <v>2076</v>
          </cell>
          <cell r="U10" t="str">
            <v>Primary</v>
          </cell>
          <cell r="V10" t="str">
            <v>Frithwood</v>
          </cell>
          <cell r="W10">
            <v>88</v>
          </cell>
          <cell r="X10" t="str">
            <v>Pupil Premium - Post LAC</v>
          </cell>
          <cell r="Y10">
            <v>5</v>
          </cell>
          <cell r="Z10">
            <v>11500</v>
          </cell>
        </row>
        <row r="11">
          <cell r="B11">
            <v>2018</v>
          </cell>
          <cell r="C11" t="str">
            <v>Primary</v>
          </cell>
          <cell r="D11" t="str">
            <v>Field End Junior</v>
          </cell>
          <cell r="E11" t="str">
            <v>Pupil Premium</v>
          </cell>
          <cell r="F11">
            <v>1320</v>
          </cell>
          <cell r="G11">
            <v>97680</v>
          </cell>
          <cell r="K11">
            <v>2023</v>
          </cell>
          <cell r="L11" t="str">
            <v>Primary</v>
          </cell>
          <cell r="M11" t="str">
            <v>Harefield Junior</v>
          </cell>
          <cell r="N11" t="str">
            <v>Pupil Premium - Service Children </v>
          </cell>
          <cell r="O11">
            <v>900</v>
          </cell>
          <cell r="P11">
            <v>900</v>
          </cell>
          <cell r="T11">
            <v>5203</v>
          </cell>
          <cell r="U11" t="str">
            <v>Primary</v>
          </cell>
          <cell r="V11" t="str">
            <v>Grange Park Infant</v>
          </cell>
          <cell r="W11">
            <v>88</v>
          </cell>
          <cell r="X11" t="str">
            <v>Pupil Premium - Post LAC</v>
          </cell>
          <cell r="Y11">
            <v>1</v>
          </cell>
          <cell r="Z11">
            <v>2300</v>
          </cell>
        </row>
        <row r="12">
          <cell r="B12">
            <v>2076</v>
          </cell>
          <cell r="C12" t="str">
            <v>Primary</v>
          </cell>
          <cell r="D12" t="str">
            <v>Frithwood</v>
          </cell>
          <cell r="E12" t="str">
            <v>Pupil Premium</v>
          </cell>
          <cell r="F12">
            <v>9240</v>
          </cell>
          <cell r="G12">
            <v>73920</v>
          </cell>
          <cell r="K12">
            <v>5411</v>
          </cell>
          <cell r="L12" t="str">
            <v>Secondary</v>
          </cell>
          <cell r="M12" t="str">
            <v>Harlington </v>
          </cell>
          <cell r="N12" t="str">
            <v>Pupil Premium - Service Children </v>
          </cell>
          <cell r="O12">
            <v>-600</v>
          </cell>
          <cell r="P12">
            <v>0</v>
          </cell>
          <cell r="T12">
            <v>5202</v>
          </cell>
          <cell r="U12" t="str">
            <v>Primary</v>
          </cell>
          <cell r="V12" t="str">
            <v>Grange Park Junior</v>
          </cell>
          <cell r="W12">
            <v>88</v>
          </cell>
          <cell r="X12" t="str">
            <v>Pupil Premium - Post LAC</v>
          </cell>
          <cell r="Y12">
            <v>1</v>
          </cell>
          <cell r="Z12">
            <v>2300</v>
          </cell>
        </row>
        <row r="13">
          <cell r="B13">
            <v>2020</v>
          </cell>
          <cell r="C13" t="str">
            <v>Primary</v>
          </cell>
          <cell r="D13" t="str">
            <v>Glebe Primary</v>
          </cell>
          <cell r="E13" t="str">
            <v>Pupil Premium</v>
          </cell>
          <cell r="F13">
            <v>6600</v>
          </cell>
          <cell r="G13">
            <v>47520</v>
          </cell>
          <cell r="K13">
            <v>2025</v>
          </cell>
          <cell r="L13" t="str">
            <v>Primary</v>
          </cell>
          <cell r="M13" t="str">
            <v>Harlyn Primary</v>
          </cell>
          <cell r="N13" t="str">
            <v>Pupil Premium - Service Children </v>
          </cell>
          <cell r="O13">
            <v>3600</v>
          </cell>
          <cell r="P13">
            <v>3600</v>
          </cell>
          <cell r="T13">
            <v>2024</v>
          </cell>
          <cell r="U13" t="str">
            <v>Primary</v>
          </cell>
          <cell r="V13" t="str">
            <v>Harefield Infant</v>
          </cell>
          <cell r="W13">
            <v>88</v>
          </cell>
          <cell r="X13" t="str">
            <v>Pupil Premium - Post LAC</v>
          </cell>
          <cell r="Y13">
            <v>1</v>
          </cell>
          <cell r="Z13">
            <v>2300</v>
          </cell>
        </row>
        <row r="14">
          <cell r="B14">
            <v>5203</v>
          </cell>
          <cell r="C14" t="str">
            <v>Primary</v>
          </cell>
          <cell r="D14" t="str">
            <v>Grange Park Infant</v>
          </cell>
          <cell r="E14" t="str">
            <v>Pupil Premium</v>
          </cell>
          <cell r="F14">
            <v>1320</v>
          </cell>
          <cell r="G14">
            <v>91080</v>
          </cell>
          <cell r="K14">
            <v>2026</v>
          </cell>
          <cell r="L14" t="str">
            <v>Primary</v>
          </cell>
          <cell r="M14" t="str">
            <v>Harmondsworth Primary</v>
          </cell>
          <cell r="N14" t="str">
            <v>Pupil Premium - Service Children </v>
          </cell>
          <cell r="O14">
            <v>-300</v>
          </cell>
          <cell r="P14">
            <v>0</v>
          </cell>
          <cell r="T14">
            <v>2023</v>
          </cell>
          <cell r="U14" t="str">
            <v>Primary</v>
          </cell>
          <cell r="V14" t="str">
            <v>Harefield Junior</v>
          </cell>
          <cell r="W14">
            <v>88</v>
          </cell>
          <cell r="X14" t="str">
            <v>Pupil Premium - Post LAC</v>
          </cell>
          <cell r="Y14">
            <v>4</v>
          </cell>
          <cell r="Z14">
            <v>9200</v>
          </cell>
        </row>
        <row r="15">
          <cell r="B15">
            <v>5202</v>
          </cell>
          <cell r="C15" t="str">
            <v>Primary</v>
          </cell>
          <cell r="D15" t="str">
            <v>Grange Park Junior</v>
          </cell>
          <cell r="E15" t="str">
            <v>Pupil Premium</v>
          </cell>
          <cell r="F15">
            <v>-11880</v>
          </cell>
          <cell r="G15">
            <v>205920</v>
          </cell>
          <cell r="K15">
            <v>2061</v>
          </cell>
          <cell r="L15" t="str">
            <v>Primary</v>
          </cell>
          <cell r="M15" t="str">
            <v>Hermitage Primary</v>
          </cell>
          <cell r="N15" t="str">
            <v>Pupil Premium - Service Children </v>
          </cell>
          <cell r="O15">
            <v>900</v>
          </cell>
          <cell r="P15">
            <v>2700</v>
          </cell>
          <cell r="T15">
            <v>2025</v>
          </cell>
          <cell r="U15" t="str">
            <v>Primary</v>
          </cell>
          <cell r="V15" t="str">
            <v>Harlyn Primary</v>
          </cell>
          <cell r="W15">
            <v>88</v>
          </cell>
          <cell r="X15" t="str">
            <v>Pupil Premium - Post LAC</v>
          </cell>
          <cell r="Y15">
            <v>2</v>
          </cell>
          <cell r="Z15">
            <v>4600</v>
          </cell>
        </row>
        <row r="16">
          <cell r="B16">
            <v>2024</v>
          </cell>
          <cell r="C16" t="str">
            <v>Primary</v>
          </cell>
          <cell r="D16" t="str">
            <v>Harefield Infant</v>
          </cell>
          <cell r="E16" t="str">
            <v>Pupil Premium</v>
          </cell>
          <cell r="F16">
            <v>2640</v>
          </cell>
          <cell r="G16">
            <v>47520</v>
          </cell>
          <cell r="K16">
            <v>2063</v>
          </cell>
          <cell r="L16" t="str">
            <v>Primary</v>
          </cell>
          <cell r="M16" t="str">
            <v>Highfield Primary</v>
          </cell>
          <cell r="N16" t="str">
            <v>Pupil Premium - Service Children </v>
          </cell>
          <cell r="O16">
            <v>1200</v>
          </cell>
          <cell r="P16">
            <v>2100</v>
          </cell>
          <cell r="T16">
            <v>5211</v>
          </cell>
          <cell r="U16" t="str">
            <v>Primary</v>
          </cell>
          <cell r="V16" t="str">
            <v>Hayes Park Primary</v>
          </cell>
          <cell r="W16">
            <v>88</v>
          </cell>
          <cell r="X16" t="str">
            <v>Pupil Premium - Post LAC</v>
          </cell>
          <cell r="Y16">
            <v>5</v>
          </cell>
          <cell r="Z16">
            <v>11500</v>
          </cell>
        </row>
        <row r="17">
          <cell r="B17">
            <v>2023</v>
          </cell>
          <cell r="C17" t="str">
            <v>Primary</v>
          </cell>
          <cell r="D17" t="str">
            <v>Harefield Junior</v>
          </cell>
          <cell r="E17" t="str">
            <v>Pupil Premium</v>
          </cell>
          <cell r="F17">
            <v>13200</v>
          </cell>
          <cell r="G17">
            <v>91080</v>
          </cell>
          <cell r="K17">
            <v>5204</v>
          </cell>
          <cell r="L17" t="str">
            <v>Primary</v>
          </cell>
          <cell r="M17" t="str">
            <v>Hillside Infant</v>
          </cell>
          <cell r="N17" t="str">
            <v>Pupil Premium - Service Children </v>
          </cell>
          <cell r="O17">
            <v>600</v>
          </cell>
          <cell r="P17">
            <v>900</v>
          </cell>
          <cell r="T17">
            <v>2029</v>
          </cell>
          <cell r="U17" t="str">
            <v>Primary</v>
          </cell>
          <cell r="V17" t="str">
            <v>Heathrow Primary</v>
          </cell>
          <cell r="W17">
            <v>88</v>
          </cell>
          <cell r="X17" t="str">
            <v>Pupil Premium - Post LAC</v>
          </cell>
          <cell r="Y17">
            <v>2</v>
          </cell>
          <cell r="Z17">
            <v>4600</v>
          </cell>
        </row>
        <row r="18">
          <cell r="B18">
            <v>5411</v>
          </cell>
          <cell r="C18" t="str">
            <v>Secondary</v>
          </cell>
          <cell r="D18" t="str">
            <v>Harlington </v>
          </cell>
          <cell r="E18" t="str">
            <v>Pupil Premium</v>
          </cell>
          <cell r="F18">
            <v>-5610</v>
          </cell>
          <cell r="G18">
            <v>390830</v>
          </cell>
          <cell r="K18">
            <v>5205</v>
          </cell>
          <cell r="L18" t="str">
            <v>Primary</v>
          </cell>
          <cell r="M18" t="str">
            <v>Hillside Junior</v>
          </cell>
          <cell r="N18" t="str">
            <v>Pupil Premium - Service Children </v>
          </cell>
          <cell r="O18">
            <v>300</v>
          </cell>
          <cell r="P18">
            <v>300</v>
          </cell>
          <cell r="T18">
            <v>2061</v>
          </cell>
          <cell r="U18" t="str">
            <v>Primary</v>
          </cell>
          <cell r="V18" t="str">
            <v>Hermitage Primary</v>
          </cell>
          <cell r="W18">
            <v>88</v>
          </cell>
          <cell r="X18" t="str">
            <v>Pupil Premium - Post LAC</v>
          </cell>
          <cell r="Y18">
            <v>2</v>
          </cell>
          <cell r="Z18">
            <v>4600</v>
          </cell>
        </row>
        <row r="19">
          <cell r="B19">
            <v>2025</v>
          </cell>
          <cell r="C19" t="str">
            <v>Primary</v>
          </cell>
          <cell r="D19" t="str">
            <v>Harlyn Primary</v>
          </cell>
          <cell r="E19" t="str">
            <v>Pupil Premium</v>
          </cell>
          <cell r="F19">
            <v>-1320</v>
          </cell>
          <cell r="G19">
            <v>88440</v>
          </cell>
          <cell r="K19">
            <v>3302</v>
          </cell>
          <cell r="L19" t="str">
            <v>Primary</v>
          </cell>
          <cell r="M19" t="str">
            <v>Holy Trinity CofE Primary</v>
          </cell>
          <cell r="N19" t="str">
            <v>Pupil Premium - Service Children </v>
          </cell>
          <cell r="O19">
            <v>-600</v>
          </cell>
          <cell r="P19">
            <v>900</v>
          </cell>
          <cell r="T19">
            <v>5204</v>
          </cell>
          <cell r="U19" t="str">
            <v>Primary</v>
          </cell>
          <cell r="V19" t="str">
            <v>Hillside Infant</v>
          </cell>
          <cell r="W19">
            <v>88</v>
          </cell>
          <cell r="X19" t="str">
            <v>Pupil Premium - Post LAC</v>
          </cell>
          <cell r="Y19">
            <v>1</v>
          </cell>
          <cell r="Z19">
            <v>2300</v>
          </cell>
        </row>
        <row r="20">
          <cell r="B20">
            <v>2026</v>
          </cell>
          <cell r="C20" t="str">
            <v>Primary</v>
          </cell>
          <cell r="D20" t="str">
            <v>Harmondsworth Primary</v>
          </cell>
          <cell r="E20" t="str">
            <v>Pupil Premium</v>
          </cell>
          <cell r="F20">
            <v>-6600</v>
          </cell>
          <cell r="G20">
            <v>52800</v>
          </cell>
          <cell r="K20">
            <v>2032</v>
          </cell>
          <cell r="L20" t="str">
            <v>Primary</v>
          </cell>
          <cell r="M20" t="str">
            <v>Lady Bankes Junior</v>
          </cell>
          <cell r="N20" t="str">
            <v>Pupil Premium - Service Children </v>
          </cell>
          <cell r="O20">
            <v>300</v>
          </cell>
          <cell r="P20">
            <v>300</v>
          </cell>
          <cell r="T20">
            <v>3302</v>
          </cell>
          <cell r="U20" t="str">
            <v>Primary</v>
          </cell>
          <cell r="V20" t="str">
            <v>Holy Trinity CofE Primary</v>
          </cell>
          <cell r="W20">
            <v>88</v>
          </cell>
          <cell r="X20" t="str">
            <v>Pupil Premium - Post LAC</v>
          </cell>
          <cell r="Y20">
            <v>4</v>
          </cell>
          <cell r="Z20">
            <v>9200</v>
          </cell>
        </row>
        <row r="21">
          <cell r="B21">
            <v>5211</v>
          </cell>
          <cell r="C21" t="str">
            <v>Primary</v>
          </cell>
          <cell r="D21" t="str">
            <v>Hayes Park Primary</v>
          </cell>
          <cell r="E21" t="str">
            <v>Pupil Premium</v>
          </cell>
          <cell r="F21">
            <v>18480</v>
          </cell>
          <cell r="G21">
            <v>133320</v>
          </cell>
          <cell r="K21">
            <v>7004</v>
          </cell>
          <cell r="L21" t="str">
            <v>Special</v>
          </cell>
          <cell r="M21" t="str">
            <v>Meadow School</v>
          </cell>
          <cell r="N21" t="str">
            <v>Pupil Premium - Service Children </v>
          </cell>
          <cell r="O21">
            <v>-300</v>
          </cell>
          <cell r="P21">
            <v>300</v>
          </cell>
          <cell r="T21">
            <v>7004</v>
          </cell>
          <cell r="U21" t="str">
            <v>Special</v>
          </cell>
          <cell r="V21" t="str">
            <v>Meadow School</v>
          </cell>
          <cell r="W21">
            <v>88</v>
          </cell>
          <cell r="X21" t="str">
            <v>Pupil Premium - Post LAC</v>
          </cell>
          <cell r="Y21">
            <v>1</v>
          </cell>
          <cell r="Z21">
            <v>2300</v>
          </cell>
        </row>
        <row r="22">
          <cell r="B22">
            <v>2029</v>
          </cell>
          <cell r="C22" t="str">
            <v>Primary</v>
          </cell>
          <cell r="D22" t="str">
            <v>Heathrow Primary</v>
          </cell>
          <cell r="E22" t="str">
            <v>Pupil Premium</v>
          </cell>
          <cell r="F22">
            <v>13200</v>
          </cell>
          <cell r="G22">
            <v>76560</v>
          </cell>
          <cell r="K22">
            <v>2038</v>
          </cell>
          <cell r="L22" t="str">
            <v>Primary</v>
          </cell>
          <cell r="M22" t="str">
            <v>Newnham Junior</v>
          </cell>
          <cell r="N22" t="str">
            <v>Pupil Premium - Service Children </v>
          </cell>
          <cell r="O22">
            <v>300</v>
          </cell>
          <cell r="P22">
            <v>300</v>
          </cell>
          <cell r="T22">
            <v>2039</v>
          </cell>
          <cell r="U22" t="str">
            <v>Primary</v>
          </cell>
          <cell r="V22" t="str">
            <v>Newnham Infant</v>
          </cell>
          <cell r="W22">
            <v>88</v>
          </cell>
          <cell r="X22" t="str">
            <v>Pupil Premium - Post LAC</v>
          </cell>
          <cell r="Y22">
            <v>2</v>
          </cell>
          <cell r="Z22">
            <v>4600</v>
          </cell>
        </row>
        <row r="23">
          <cell r="B23">
            <v>7009</v>
          </cell>
          <cell r="C23" t="str">
            <v>Special</v>
          </cell>
          <cell r="D23" t="str">
            <v>Hedgewood School</v>
          </cell>
          <cell r="E23" t="str">
            <v>Pupil Premium</v>
          </cell>
          <cell r="F23">
            <v>13200</v>
          </cell>
          <cell r="G23">
            <v>73920</v>
          </cell>
          <cell r="K23">
            <v>5201</v>
          </cell>
          <cell r="L23" t="str">
            <v>Primary</v>
          </cell>
          <cell r="M23" t="str">
            <v>Oak Farm Junior</v>
          </cell>
          <cell r="N23" t="str">
            <v>Pupil Premium - Service Children </v>
          </cell>
          <cell r="O23">
            <v>-300</v>
          </cell>
          <cell r="P23">
            <v>0</v>
          </cell>
          <cell r="T23">
            <v>2038</v>
          </cell>
          <cell r="U23" t="str">
            <v>Primary</v>
          </cell>
          <cell r="V23" t="str">
            <v>Newnham Junior</v>
          </cell>
          <cell r="W23">
            <v>88</v>
          </cell>
          <cell r="X23" t="str">
            <v>Pupil Premium - Post LAC</v>
          </cell>
          <cell r="Y23">
            <v>1</v>
          </cell>
          <cell r="Z23">
            <v>2300</v>
          </cell>
        </row>
        <row r="24">
          <cell r="B24">
            <v>2061</v>
          </cell>
          <cell r="C24" t="str">
            <v>Primary</v>
          </cell>
          <cell r="D24" t="str">
            <v>Hermitage Primary</v>
          </cell>
          <cell r="E24" t="str">
            <v>Pupil Premium</v>
          </cell>
          <cell r="F24">
            <v>2640</v>
          </cell>
          <cell r="G24">
            <v>85800</v>
          </cell>
          <cell r="K24">
            <v>5409</v>
          </cell>
          <cell r="L24" t="str">
            <v>Secondary</v>
          </cell>
          <cell r="M24" t="str">
            <v>Oak Wood School </v>
          </cell>
          <cell r="N24" t="str">
            <v>Pupil Premium - Service Children </v>
          </cell>
          <cell r="O24">
            <v>600</v>
          </cell>
          <cell r="P24">
            <v>600</v>
          </cell>
          <cell r="T24">
            <v>5200</v>
          </cell>
          <cell r="U24" t="str">
            <v>Primary</v>
          </cell>
          <cell r="V24" t="str">
            <v>Oak Farm Infant</v>
          </cell>
          <cell r="W24">
            <v>88</v>
          </cell>
          <cell r="X24" t="str">
            <v>Pupil Premium - Post LAC</v>
          </cell>
          <cell r="Y24">
            <v>2</v>
          </cell>
          <cell r="Z24">
            <v>4600</v>
          </cell>
        </row>
        <row r="25">
          <cell r="B25">
            <v>2063</v>
          </cell>
          <cell r="C25" t="str">
            <v>Primary</v>
          </cell>
          <cell r="D25" t="str">
            <v>Highfield Primary</v>
          </cell>
          <cell r="E25" t="str">
            <v>Pupil Premium</v>
          </cell>
          <cell r="F25">
            <v>-18480</v>
          </cell>
          <cell r="G25">
            <v>95040</v>
          </cell>
          <cell r="K25">
            <v>2064</v>
          </cell>
          <cell r="L25" t="str">
            <v>Primary</v>
          </cell>
          <cell r="M25" t="str">
            <v>Rabbsfarm Primary</v>
          </cell>
          <cell r="N25" t="str">
            <v>Pupil Premium - Service Children </v>
          </cell>
          <cell r="O25">
            <v>300</v>
          </cell>
          <cell r="P25">
            <v>300</v>
          </cell>
          <cell r="T25">
            <v>2064</v>
          </cell>
          <cell r="U25" t="str">
            <v>Primary</v>
          </cell>
          <cell r="V25" t="str">
            <v>Rabbsfarm Primary</v>
          </cell>
          <cell r="W25">
            <v>88</v>
          </cell>
          <cell r="X25" t="str">
            <v>Pupil Premium - Post LAC</v>
          </cell>
          <cell r="Y25">
            <v>3</v>
          </cell>
          <cell r="Z25">
            <v>6900</v>
          </cell>
        </row>
        <row r="26">
          <cell r="B26">
            <v>5204</v>
          </cell>
          <cell r="C26" t="str">
            <v>Primary</v>
          </cell>
          <cell r="D26" t="str">
            <v>Hillside Infant</v>
          </cell>
          <cell r="E26" t="str">
            <v>Pupil Premium</v>
          </cell>
          <cell r="F26">
            <v>5280</v>
          </cell>
          <cell r="G26">
            <v>38280</v>
          </cell>
          <cell r="K26">
            <v>2080</v>
          </cell>
          <cell r="L26" t="str">
            <v>Primary</v>
          </cell>
          <cell r="M26" t="str">
            <v>Ruislip Gardens</v>
          </cell>
          <cell r="N26" t="str">
            <v>Pupil Premium - Service Children </v>
          </cell>
          <cell r="O26">
            <v>300</v>
          </cell>
          <cell r="P26">
            <v>14700</v>
          </cell>
          <cell r="T26">
            <v>2080</v>
          </cell>
          <cell r="U26" t="str">
            <v>Primary</v>
          </cell>
          <cell r="V26" t="str">
            <v>Ruislip Gardens</v>
          </cell>
          <cell r="W26">
            <v>88</v>
          </cell>
          <cell r="X26" t="str">
            <v>Pupil Premium - Post LAC</v>
          </cell>
          <cell r="Y26">
            <v>6</v>
          </cell>
          <cell r="Z26">
            <v>13800</v>
          </cell>
        </row>
        <row r="27">
          <cell r="B27">
            <v>5205</v>
          </cell>
          <cell r="C27" t="str">
            <v>Primary</v>
          </cell>
          <cell r="D27" t="str">
            <v>Hillside Junior</v>
          </cell>
          <cell r="E27" t="str">
            <v>Pupil Premium</v>
          </cell>
          <cell r="F27">
            <v>-1320</v>
          </cell>
          <cell r="G27">
            <v>64680</v>
          </cell>
          <cell r="K27">
            <v>3405</v>
          </cell>
          <cell r="L27" t="str">
            <v>Primary</v>
          </cell>
          <cell r="M27" t="str">
            <v>Sacred Heart Catholic</v>
          </cell>
          <cell r="N27" t="str">
            <v>Pupil Premium - Service Children </v>
          </cell>
          <cell r="O27">
            <v>-300</v>
          </cell>
          <cell r="P27">
            <v>0</v>
          </cell>
          <cell r="T27">
            <v>3405</v>
          </cell>
          <cell r="U27" t="str">
            <v>Primary</v>
          </cell>
          <cell r="V27" t="str">
            <v>Sacred Heart Catholic</v>
          </cell>
          <cell r="W27">
            <v>88</v>
          </cell>
          <cell r="X27" t="str">
            <v>Pupil Premium - Post LAC</v>
          </cell>
          <cell r="Y27">
            <v>8</v>
          </cell>
          <cell r="Z27">
            <v>18400</v>
          </cell>
        </row>
        <row r="28">
          <cell r="B28">
            <v>3302</v>
          </cell>
          <cell r="C28" t="str">
            <v>Primary</v>
          </cell>
          <cell r="D28" t="str">
            <v>Holy Trinity CofE Primary</v>
          </cell>
          <cell r="E28" t="str">
            <v>Pupil Premium</v>
          </cell>
          <cell r="F28">
            <v>-1320</v>
          </cell>
          <cell r="G28">
            <v>33000</v>
          </cell>
          <cell r="K28">
            <v>5208</v>
          </cell>
          <cell r="L28" t="str">
            <v>Primary</v>
          </cell>
          <cell r="M28" t="str">
            <v>St Andrew's CofE Primary</v>
          </cell>
          <cell r="N28" t="str">
            <v>Pupil Premium - Service Children </v>
          </cell>
          <cell r="O28">
            <v>-600</v>
          </cell>
          <cell r="P28">
            <v>1800</v>
          </cell>
          <cell r="T28">
            <v>5208</v>
          </cell>
          <cell r="U28" t="str">
            <v>Primary</v>
          </cell>
          <cell r="V28" t="str">
            <v>St Andrew's CofE Primary</v>
          </cell>
          <cell r="W28">
            <v>88</v>
          </cell>
          <cell r="X28" t="str">
            <v>Pupil Premium - Post LAC</v>
          </cell>
          <cell r="Y28">
            <v>3</v>
          </cell>
          <cell r="Z28">
            <v>6900</v>
          </cell>
        </row>
        <row r="29">
          <cell r="B29">
            <v>2033</v>
          </cell>
          <cell r="C29" t="str">
            <v>Primary</v>
          </cell>
          <cell r="D29" t="str">
            <v>Lady Bankes Infant</v>
          </cell>
          <cell r="E29" t="str">
            <v>Pupil Premium</v>
          </cell>
          <cell r="F29">
            <v>-1320</v>
          </cell>
          <cell r="G29">
            <v>38280</v>
          </cell>
          <cell r="K29">
            <v>3402</v>
          </cell>
          <cell r="L29" t="str">
            <v>Primary</v>
          </cell>
          <cell r="M29" t="str">
            <v>St Bernadette Catholic Primary</v>
          </cell>
          <cell r="N29" t="str">
            <v>Pupil Premium - Service Children </v>
          </cell>
          <cell r="O29">
            <v>1500</v>
          </cell>
          <cell r="P29">
            <v>1500</v>
          </cell>
          <cell r="T29">
            <v>3402</v>
          </cell>
          <cell r="U29" t="str">
            <v>Primary</v>
          </cell>
          <cell r="V29" t="str">
            <v>St Bernadette Catholic Primary</v>
          </cell>
          <cell r="W29">
            <v>88</v>
          </cell>
          <cell r="X29" t="str">
            <v>Pupil Premium - Post LAC</v>
          </cell>
          <cell r="Y29">
            <v>1</v>
          </cell>
          <cell r="Z29">
            <v>2300</v>
          </cell>
        </row>
        <row r="30">
          <cell r="B30">
            <v>2032</v>
          </cell>
          <cell r="C30" t="str">
            <v>Primary</v>
          </cell>
          <cell r="D30" t="str">
            <v>Lady Bankes Junior</v>
          </cell>
          <cell r="E30" t="str">
            <v>Pupil Premium</v>
          </cell>
          <cell r="F30">
            <v>2640</v>
          </cell>
          <cell r="G30">
            <v>79200</v>
          </cell>
          <cell r="K30">
            <v>3403</v>
          </cell>
          <cell r="L30" t="str">
            <v>Primary</v>
          </cell>
          <cell r="M30" t="str">
            <v>St Catherine Catholic Primary</v>
          </cell>
          <cell r="N30" t="str">
            <v>Pupil Premium - Service Children </v>
          </cell>
          <cell r="O30">
            <v>600</v>
          </cell>
          <cell r="P30">
            <v>600</v>
          </cell>
          <cell r="T30">
            <v>3404</v>
          </cell>
          <cell r="U30" t="str">
            <v>Primary</v>
          </cell>
          <cell r="V30" t="str">
            <v>St Mary's Catholic Primary</v>
          </cell>
          <cell r="W30">
            <v>88</v>
          </cell>
          <cell r="X30" t="str">
            <v>Pupil Premium - Post LAC</v>
          </cell>
          <cell r="Y30">
            <v>2</v>
          </cell>
          <cell r="Z30">
            <v>4600</v>
          </cell>
        </row>
        <row r="31">
          <cell r="B31">
            <v>7004</v>
          </cell>
          <cell r="C31" t="str">
            <v>Special</v>
          </cell>
          <cell r="D31" t="str">
            <v>Meadow School</v>
          </cell>
          <cell r="E31" t="str">
            <v>Pupil Premium</v>
          </cell>
          <cell r="F31">
            <v>-935</v>
          </cell>
          <cell r="G31">
            <v>59840</v>
          </cell>
          <cell r="K31">
            <v>3404</v>
          </cell>
          <cell r="L31" t="str">
            <v>Primary</v>
          </cell>
          <cell r="M31" t="str">
            <v>St Mary's Catholic Primary</v>
          </cell>
          <cell r="N31" t="str">
            <v>Pupil Premium - Service Children </v>
          </cell>
          <cell r="O31">
            <v>-300</v>
          </cell>
          <cell r="P31">
            <v>3000</v>
          </cell>
          <cell r="T31">
            <v>2004</v>
          </cell>
          <cell r="U31" t="str">
            <v>Primary</v>
          </cell>
          <cell r="V31" t="str">
            <v>The Breakspear School</v>
          </cell>
          <cell r="W31">
            <v>88</v>
          </cell>
          <cell r="X31" t="str">
            <v>Pupil Premium - Post LAC</v>
          </cell>
          <cell r="Y31">
            <v>3</v>
          </cell>
          <cell r="Z31">
            <v>6900</v>
          </cell>
        </row>
        <row r="32">
          <cell r="B32">
            <v>2037</v>
          </cell>
          <cell r="C32" t="str">
            <v>Primary</v>
          </cell>
          <cell r="D32" t="str">
            <v>Minet Infant School</v>
          </cell>
          <cell r="E32" t="str">
            <v>Pupil Premium</v>
          </cell>
          <cell r="F32">
            <v>-26400</v>
          </cell>
          <cell r="G32">
            <v>83160</v>
          </cell>
          <cell r="K32">
            <v>2004</v>
          </cell>
          <cell r="L32" t="str">
            <v>Primary</v>
          </cell>
          <cell r="M32" t="str">
            <v>The Breakspear School</v>
          </cell>
          <cell r="N32" t="str">
            <v>Pupil Premium - Service Children </v>
          </cell>
          <cell r="O32">
            <v>-1800</v>
          </cell>
          <cell r="P32">
            <v>3600</v>
          </cell>
          <cell r="T32">
            <v>2065</v>
          </cell>
          <cell r="U32" t="str">
            <v>Primary</v>
          </cell>
          <cell r="V32" t="str">
            <v>Warrender Primary</v>
          </cell>
          <cell r="W32">
            <v>88</v>
          </cell>
          <cell r="X32" t="str">
            <v>Pupil Premium - Post LAC</v>
          </cell>
          <cell r="Y32">
            <v>2</v>
          </cell>
          <cell r="Z32">
            <v>4600</v>
          </cell>
        </row>
        <row r="33">
          <cell r="B33">
            <v>2036</v>
          </cell>
          <cell r="C33" t="str">
            <v>Primary</v>
          </cell>
          <cell r="D33" t="str">
            <v>Minet Junior School</v>
          </cell>
          <cell r="E33" t="str">
            <v>Pupil Premium</v>
          </cell>
          <cell r="F33">
            <v>-15840</v>
          </cell>
          <cell r="G33">
            <v>253440</v>
          </cell>
          <cell r="K33">
            <v>2065</v>
          </cell>
          <cell r="L33" t="str">
            <v>Primary</v>
          </cell>
          <cell r="M33" t="str">
            <v>Warrender Primary</v>
          </cell>
          <cell r="N33" t="str">
            <v>Pupil Premium - Service Children </v>
          </cell>
          <cell r="O33">
            <v>300</v>
          </cell>
          <cell r="P33">
            <v>300</v>
          </cell>
          <cell r="T33">
            <v>2074</v>
          </cell>
          <cell r="U33" t="str">
            <v>Primary</v>
          </cell>
          <cell r="V33" t="str">
            <v>Whiteheath Infant</v>
          </cell>
          <cell r="W33">
            <v>88</v>
          </cell>
          <cell r="X33" t="str">
            <v>Pupil Premium - Post LAC</v>
          </cell>
          <cell r="Y33">
            <v>4</v>
          </cell>
          <cell r="Z33">
            <v>9200</v>
          </cell>
        </row>
        <row r="34">
          <cell r="B34">
            <v>2039</v>
          </cell>
          <cell r="C34" t="str">
            <v>Primary</v>
          </cell>
          <cell r="D34" t="str">
            <v>Newnham Infant</v>
          </cell>
          <cell r="E34" t="str">
            <v>Pupil Premium</v>
          </cell>
          <cell r="F34">
            <v>-1320</v>
          </cell>
          <cell r="G34">
            <v>31680</v>
          </cell>
          <cell r="K34">
            <v>2069</v>
          </cell>
          <cell r="L34" t="str">
            <v>Primary</v>
          </cell>
          <cell r="M34" t="str">
            <v>Whitehall Infant</v>
          </cell>
          <cell r="N34" t="str">
            <v>Pupil Premium - Service Children </v>
          </cell>
          <cell r="O34">
            <v>-600</v>
          </cell>
          <cell r="P34">
            <v>900</v>
          </cell>
          <cell r="T34">
            <v>2054</v>
          </cell>
          <cell r="U34" t="str">
            <v>Primary</v>
          </cell>
          <cell r="V34" t="str">
            <v>Whiteheath Junior</v>
          </cell>
          <cell r="W34">
            <v>88</v>
          </cell>
          <cell r="X34" t="str">
            <v>Pupil Premium - Post LAC</v>
          </cell>
          <cell r="Y34">
            <v>1</v>
          </cell>
          <cell r="Z34">
            <v>2300</v>
          </cell>
        </row>
        <row r="35">
          <cell r="B35">
            <v>2038</v>
          </cell>
          <cell r="C35" t="str">
            <v>Primary</v>
          </cell>
          <cell r="D35" t="str">
            <v>Newnham Junior</v>
          </cell>
          <cell r="E35" t="str">
            <v>Pupil Premium</v>
          </cell>
          <cell r="F35">
            <v>9240</v>
          </cell>
          <cell r="G35">
            <v>75240</v>
          </cell>
          <cell r="K35">
            <v>2052</v>
          </cell>
          <cell r="L35" t="str">
            <v>Primary</v>
          </cell>
          <cell r="M35" t="str">
            <v>Whitehall Junior</v>
          </cell>
          <cell r="N35" t="str">
            <v>Pupil Premium - Service Children </v>
          </cell>
          <cell r="O35">
            <v>-2400</v>
          </cell>
          <cell r="P35">
            <v>2400</v>
          </cell>
          <cell r="T35">
            <v>2055</v>
          </cell>
          <cell r="U35" t="str">
            <v>Primary</v>
          </cell>
          <cell r="V35" t="str">
            <v>William Byrd Primary</v>
          </cell>
          <cell r="W35">
            <v>88</v>
          </cell>
          <cell r="X35" t="str">
            <v>Pupil Premium - Post LAC</v>
          </cell>
          <cell r="Y35">
            <v>2</v>
          </cell>
          <cell r="Z35">
            <v>4600</v>
          </cell>
        </row>
        <row r="36">
          <cell r="B36">
            <v>5200</v>
          </cell>
          <cell r="C36" t="str">
            <v>Primary</v>
          </cell>
          <cell r="D36" t="str">
            <v>Oak Farm Infant</v>
          </cell>
          <cell r="E36" t="str">
            <v>Pupil Premium</v>
          </cell>
          <cell r="F36">
            <v>6600</v>
          </cell>
          <cell r="G36">
            <v>39600</v>
          </cell>
          <cell r="K36">
            <v>2074</v>
          </cell>
          <cell r="L36" t="str">
            <v>Primary</v>
          </cell>
          <cell r="M36" t="str">
            <v>Whiteheath Infant</v>
          </cell>
          <cell r="N36" t="str">
            <v>Pupil Premium - Service Children </v>
          </cell>
          <cell r="O36">
            <v>300</v>
          </cell>
          <cell r="P36">
            <v>300</v>
          </cell>
        </row>
        <row r="37">
          <cell r="B37">
            <v>5201</v>
          </cell>
          <cell r="C37" t="str">
            <v>Primary</v>
          </cell>
          <cell r="D37" t="str">
            <v>Oak Farm Junior</v>
          </cell>
          <cell r="E37" t="str">
            <v>Pupil Premium</v>
          </cell>
          <cell r="F37">
            <v>14520</v>
          </cell>
          <cell r="G37">
            <v>83160</v>
          </cell>
          <cell r="K37">
            <v>2054</v>
          </cell>
          <cell r="L37" t="str">
            <v>Primary</v>
          </cell>
          <cell r="M37" t="str">
            <v>Whiteheath Junior</v>
          </cell>
          <cell r="N37" t="str">
            <v>Pupil Premium - Service Children </v>
          </cell>
          <cell r="O37">
            <v>-300</v>
          </cell>
          <cell r="P37">
            <v>900</v>
          </cell>
        </row>
        <row r="38">
          <cell r="B38">
            <v>5409</v>
          </cell>
          <cell r="C38" t="str">
            <v>Secondary</v>
          </cell>
          <cell r="D38" t="str">
            <v>Oak Wood School </v>
          </cell>
          <cell r="E38" t="str">
            <v>Pupil Premium</v>
          </cell>
          <cell r="F38">
            <v>21505</v>
          </cell>
          <cell r="G38">
            <v>131835</v>
          </cell>
        </row>
        <row r="39">
          <cell r="B39">
            <v>2064</v>
          </cell>
          <cell r="C39" t="str">
            <v>Primary</v>
          </cell>
          <cell r="D39" t="str">
            <v>Rabbsfarm Primary</v>
          </cell>
          <cell r="E39" t="str">
            <v>Pupil Premium</v>
          </cell>
          <cell r="F39">
            <v>21780</v>
          </cell>
          <cell r="G39">
            <v>291060</v>
          </cell>
        </row>
        <row r="40">
          <cell r="B40">
            <v>2080</v>
          </cell>
          <cell r="C40" t="str">
            <v>Primary</v>
          </cell>
          <cell r="D40" t="str">
            <v>Ruislip Gardens</v>
          </cell>
          <cell r="E40" t="str">
            <v>Pupil Premium</v>
          </cell>
          <cell r="F40">
            <v>-21120</v>
          </cell>
          <cell r="G40">
            <v>109560</v>
          </cell>
        </row>
        <row r="41">
          <cell r="B41">
            <v>3405</v>
          </cell>
          <cell r="C41" t="str">
            <v>Primary</v>
          </cell>
          <cell r="D41" t="str">
            <v>Sacred Heart Catholic</v>
          </cell>
          <cell r="E41" t="str">
            <v>Pupil Premium</v>
          </cell>
          <cell r="F41">
            <v>-14520</v>
          </cell>
          <cell r="G41">
            <v>56760</v>
          </cell>
        </row>
        <row r="42">
          <cell r="B42">
            <v>5208</v>
          </cell>
          <cell r="C42" t="str">
            <v>Primary</v>
          </cell>
          <cell r="D42" t="str">
            <v>St Andrew's CofE Primary</v>
          </cell>
          <cell r="E42" t="str">
            <v>Pupil Premium</v>
          </cell>
          <cell r="F42">
            <v>5280</v>
          </cell>
          <cell r="G42">
            <v>42240</v>
          </cell>
        </row>
        <row r="43">
          <cell r="B43">
            <v>3402</v>
          </cell>
          <cell r="C43" t="str">
            <v>Primary</v>
          </cell>
          <cell r="D43" t="str">
            <v>St Bernadette Catholic Primary</v>
          </cell>
          <cell r="E43" t="str">
            <v>Pupil Premium</v>
          </cell>
          <cell r="F43">
            <v>-1320</v>
          </cell>
          <cell r="G43">
            <v>43560</v>
          </cell>
        </row>
        <row r="44">
          <cell r="B44">
            <v>3403</v>
          </cell>
          <cell r="C44" t="str">
            <v>Primary</v>
          </cell>
          <cell r="D44" t="str">
            <v>St Catherine Catholic Primary</v>
          </cell>
          <cell r="E44" t="str">
            <v>Pupil Premium</v>
          </cell>
          <cell r="F44">
            <v>-6600</v>
          </cell>
          <cell r="G44">
            <v>51480</v>
          </cell>
        </row>
        <row r="45">
          <cell r="B45">
            <v>3404</v>
          </cell>
          <cell r="C45" t="str">
            <v>Primary</v>
          </cell>
          <cell r="D45" t="str">
            <v>St Mary's Catholic Primary</v>
          </cell>
          <cell r="E45" t="str">
            <v>Pupil Premium</v>
          </cell>
          <cell r="F45">
            <v>-6600</v>
          </cell>
          <cell r="G45">
            <v>26400</v>
          </cell>
        </row>
        <row r="46">
          <cell r="B46">
            <v>3400</v>
          </cell>
          <cell r="C46" t="str">
            <v>Primary</v>
          </cell>
          <cell r="D46" t="str">
            <v>St Swithun Wells' Catholic</v>
          </cell>
          <cell r="E46" t="str">
            <v>Pupil Premium</v>
          </cell>
          <cell r="F46">
            <v>3960</v>
          </cell>
          <cell r="G46">
            <v>10560</v>
          </cell>
        </row>
        <row r="47">
          <cell r="B47">
            <v>2004</v>
          </cell>
          <cell r="C47" t="str">
            <v>Primary</v>
          </cell>
          <cell r="D47" t="str">
            <v>The Breakspear School</v>
          </cell>
          <cell r="E47" t="str">
            <v>Pupil Premium</v>
          </cell>
          <cell r="F47">
            <v>19800</v>
          </cell>
          <cell r="G47">
            <v>19800</v>
          </cell>
        </row>
        <row r="48">
          <cell r="B48">
            <v>2065</v>
          </cell>
          <cell r="C48" t="str">
            <v>Primary</v>
          </cell>
          <cell r="D48" t="str">
            <v>Warrender Primary</v>
          </cell>
          <cell r="E48" t="str">
            <v>Pupil Premium</v>
          </cell>
          <cell r="F48">
            <v>23760</v>
          </cell>
          <cell r="G48">
            <v>23760</v>
          </cell>
        </row>
        <row r="49">
          <cell r="B49">
            <v>2069</v>
          </cell>
          <cell r="C49" t="str">
            <v>Primary</v>
          </cell>
          <cell r="D49" t="str">
            <v>Whitehall Infant</v>
          </cell>
          <cell r="E49" t="str">
            <v>Pupil Premium</v>
          </cell>
          <cell r="F49">
            <v>21120</v>
          </cell>
          <cell r="G49">
            <v>109560</v>
          </cell>
        </row>
        <row r="50">
          <cell r="B50">
            <v>2052</v>
          </cell>
          <cell r="C50" t="str">
            <v>Primary</v>
          </cell>
          <cell r="D50" t="str">
            <v>Whitehall Junior</v>
          </cell>
          <cell r="E50" t="str">
            <v>Pupil Premium</v>
          </cell>
          <cell r="F50">
            <v>6600</v>
          </cell>
          <cell r="G50">
            <v>163680</v>
          </cell>
        </row>
        <row r="51">
          <cell r="B51">
            <v>2074</v>
          </cell>
          <cell r="C51" t="str">
            <v>Primary</v>
          </cell>
          <cell r="D51" t="str">
            <v>Whiteheath Infant</v>
          </cell>
          <cell r="E51" t="str">
            <v>Pupil Premium</v>
          </cell>
          <cell r="F51">
            <v>-2640</v>
          </cell>
          <cell r="G51">
            <v>17160</v>
          </cell>
        </row>
        <row r="52">
          <cell r="B52">
            <v>2054</v>
          </cell>
          <cell r="C52" t="str">
            <v>Primary</v>
          </cell>
          <cell r="D52" t="str">
            <v>Whiteheath Junior</v>
          </cell>
          <cell r="E52" t="str">
            <v>Pupil Premium</v>
          </cell>
          <cell r="F52">
            <v>-6600</v>
          </cell>
          <cell r="G52">
            <v>36960</v>
          </cell>
        </row>
        <row r="53">
          <cell r="B53">
            <v>2060</v>
          </cell>
          <cell r="C53" t="str">
            <v>Primary</v>
          </cell>
          <cell r="D53" t="str">
            <v>Yeading Infant</v>
          </cell>
          <cell r="E53" t="str">
            <v>Pupil Premium</v>
          </cell>
          <cell r="F53">
            <v>-15840</v>
          </cell>
          <cell r="G53">
            <v>79200</v>
          </cell>
        </row>
        <row r="54">
          <cell r="B54">
            <v>2059</v>
          </cell>
          <cell r="C54" t="str">
            <v>Primary</v>
          </cell>
          <cell r="D54" t="str">
            <v>Yeading Junior</v>
          </cell>
          <cell r="E54" t="str">
            <v>Pupil Premium</v>
          </cell>
          <cell r="F54">
            <v>249480</v>
          </cell>
          <cell r="G54">
            <v>249480</v>
          </cell>
        </row>
      </sheetData>
      <sheetData sheetId="2">
        <row r="5">
          <cell r="B5">
            <v>3401</v>
          </cell>
          <cell r="C5" t="str">
            <v>Botwell House</v>
          </cell>
          <cell r="G5">
            <v>86</v>
          </cell>
          <cell r="H5">
            <v>88</v>
          </cell>
          <cell r="I5">
            <v>89</v>
          </cell>
          <cell r="J5">
            <v>89</v>
          </cell>
          <cell r="K5">
            <v>87</v>
          </cell>
          <cell r="L5">
            <v>89</v>
          </cell>
          <cell r="M5">
            <v>528</v>
          </cell>
          <cell r="N5">
            <v>16000</v>
          </cell>
          <cell r="O5">
            <v>5280</v>
          </cell>
          <cell r="P5">
            <v>21280</v>
          </cell>
        </row>
        <row r="6">
          <cell r="B6">
            <v>2003</v>
          </cell>
          <cell r="C6" t="str">
            <v>Bourne</v>
          </cell>
          <cell r="G6">
            <v>29</v>
          </cell>
          <cell r="H6">
            <v>30</v>
          </cell>
          <cell r="I6">
            <v>32</v>
          </cell>
          <cell r="J6">
            <v>56</v>
          </cell>
          <cell r="K6">
            <v>27</v>
          </cell>
          <cell r="L6">
            <v>30</v>
          </cell>
          <cell r="M6">
            <v>204</v>
          </cell>
          <cell r="N6">
            <v>16000</v>
          </cell>
          <cell r="O6">
            <v>2040</v>
          </cell>
          <cell r="P6">
            <v>18040</v>
          </cell>
        </row>
        <row r="7">
          <cell r="B7">
            <v>2004</v>
          </cell>
          <cell r="C7" t="str">
            <v>Breakspear</v>
          </cell>
          <cell r="G7">
            <v>90</v>
          </cell>
          <cell r="H7">
            <v>90</v>
          </cell>
          <cell r="I7">
            <v>90</v>
          </cell>
          <cell r="J7">
            <v>90</v>
          </cell>
          <cell r="K7">
            <v>90</v>
          </cell>
          <cell r="L7">
            <v>90</v>
          </cell>
          <cell r="M7">
            <v>540</v>
          </cell>
          <cell r="N7">
            <v>16000</v>
          </cell>
          <cell r="O7">
            <v>5400</v>
          </cell>
          <cell r="P7">
            <v>21400</v>
          </cell>
        </row>
        <row r="8">
          <cell r="B8">
            <v>3300</v>
          </cell>
          <cell r="C8" t="str">
            <v>Bwi</v>
          </cell>
          <cell r="G8">
            <v>30</v>
          </cell>
          <cell r="H8">
            <v>48</v>
          </cell>
          <cell r="I8">
            <v>50</v>
          </cell>
          <cell r="J8">
            <v>52</v>
          </cell>
          <cell r="K8">
            <v>53</v>
          </cell>
          <cell r="L8">
            <v>60</v>
          </cell>
          <cell r="M8">
            <v>293</v>
          </cell>
          <cell r="N8">
            <v>16000</v>
          </cell>
          <cell r="O8">
            <v>2930</v>
          </cell>
          <cell r="P8">
            <v>18930</v>
          </cell>
        </row>
        <row r="9">
          <cell r="B9">
            <v>2084</v>
          </cell>
          <cell r="C9" t="str">
            <v>Cherry Lane</v>
          </cell>
          <cell r="G9">
            <v>81</v>
          </cell>
          <cell r="H9">
            <v>91</v>
          </cell>
          <cell r="I9">
            <v>88</v>
          </cell>
          <cell r="J9">
            <v>118</v>
          </cell>
          <cell r="K9">
            <v>95</v>
          </cell>
          <cell r="L9">
            <v>58</v>
          </cell>
          <cell r="M9">
            <v>531</v>
          </cell>
          <cell r="N9">
            <v>16000</v>
          </cell>
          <cell r="O9">
            <v>5310</v>
          </cell>
          <cell r="P9">
            <v>21310</v>
          </cell>
        </row>
        <row r="10">
          <cell r="B10">
            <v>2010</v>
          </cell>
          <cell r="C10" t="str">
            <v>Colham Manor P</v>
          </cell>
          <cell r="G10">
            <v>86</v>
          </cell>
          <cell r="H10">
            <v>85</v>
          </cell>
          <cell r="I10">
            <v>85</v>
          </cell>
          <cell r="J10">
            <v>83</v>
          </cell>
          <cell r="K10">
            <v>88</v>
          </cell>
          <cell r="L10">
            <v>88</v>
          </cell>
          <cell r="M10">
            <v>515</v>
          </cell>
          <cell r="N10">
            <v>16000</v>
          </cell>
          <cell r="O10">
            <v>5150</v>
          </cell>
          <cell r="P10">
            <v>21150</v>
          </cell>
        </row>
        <row r="11">
          <cell r="B11">
            <v>2016</v>
          </cell>
          <cell r="C11" t="str">
            <v>Deanesfield</v>
          </cell>
          <cell r="G11">
            <v>88</v>
          </cell>
          <cell r="H11">
            <v>88</v>
          </cell>
          <cell r="I11">
            <v>90</v>
          </cell>
          <cell r="J11">
            <v>81</v>
          </cell>
          <cell r="K11">
            <v>90</v>
          </cell>
          <cell r="L11">
            <v>86</v>
          </cell>
          <cell r="M11">
            <v>523</v>
          </cell>
          <cell r="N11">
            <v>16000</v>
          </cell>
          <cell r="O11">
            <v>5230</v>
          </cell>
          <cell r="P11">
            <v>21230</v>
          </cell>
        </row>
        <row r="12">
          <cell r="B12">
            <v>3307</v>
          </cell>
          <cell r="C12" t="str">
            <v>Dr Triplett's</v>
          </cell>
          <cell r="G12">
            <v>59</v>
          </cell>
          <cell r="H12">
            <v>59</v>
          </cell>
          <cell r="I12">
            <v>59</v>
          </cell>
          <cell r="J12">
            <v>57</v>
          </cell>
          <cell r="K12">
            <v>59</v>
          </cell>
          <cell r="L12">
            <v>56</v>
          </cell>
          <cell r="M12">
            <v>349</v>
          </cell>
          <cell r="N12">
            <v>16000</v>
          </cell>
          <cell r="O12">
            <v>3490</v>
          </cell>
          <cell r="P12">
            <v>19490</v>
          </cell>
        </row>
        <row r="13">
          <cell r="B13">
            <v>2076</v>
          </cell>
          <cell r="C13" t="str">
            <v>Frithwood</v>
          </cell>
          <cell r="G13">
            <v>57</v>
          </cell>
          <cell r="H13">
            <v>59</v>
          </cell>
          <cell r="I13">
            <v>60</v>
          </cell>
          <cell r="J13">
            <v>56</v>
          </cell>
          <cell r="K13">
            <v>60</v>
          </cell>
          <cell r="L13">
            <v>56</v>
          </cell>
          <cell r="M13">
            <v>348</v>
          </cell>
          <cell r="N13">
            <v>16000</v>
          </cell>
          <cell r="O13">
            <v>3480</v>
          </cell>
          <cell r="P13">
            <v>19480</v>
          </cell>
        </row>
        <row r="14">
          <cell r="B14">
            <v>2020</v>
          </cell>
          <cell r="C14" t="str">
            <v>Glebe</v>
          </cell>
          <cell r="G14">
            <v>90</v>
          </cell>
          <cell r="H14">
            <v>83</v>
          </cell>
          <cell r="I14">
            <v>78</v>
          </cell>
          <cell r="J14">
            <v>87</v>
          </cell>
          <cell r="K14">
            <v>60</v>
          </cell>
          <cell r="L14">
            <v>55</v>
          </cell>
          <cell r="M14">
            <v>453</v>
          </cell>
          <cell r="N14">
            <v>16000</v>
          </cell>
          <cell r="O14">
            <v>4530</v>
          </cell>
          <cell r="P14">
            <v>20530</v>
          </cell>
        </row>
        <row r="15">
          <cell r="B15">
            <v>2025</v>
          </cell>
          <cell r="C15" t="str">
            <v>Harlyn</v>
          </cell>
          <cell r="G15">
            <v>82</v>
          </cell>
          <cell r="H15">
            <v>87</v>
          </cell>
          <cell r="I15">
            <v>79</v>
          </cell>
          <cell r="J15">
            <v>81</v>
          </cell>
          <cell r="K15">
            <v>60</v>
          </cell>
          <cell r="L15">
            <v>59</v>
          </cell>
          <cell r="M15">
            <v>448</v>
          </cell>
          <cell r="N15">
            <v>16000</v>
          </cell>
          <cell r="O15">
            <v>4480</v>
          </cell>
          <cell r="P15">
            <v>20480</v>
          </cell>
        </row>
        <row r="16">
          <cell r="B16">
            <v>2026</v>
          </cell>
          <cell r="C16" t="str">
            <v>Harmondsworth</v>
          </cell>
          <cell r="G16">
            <v>28</v>
          </cell>
          <cell r="H16">
            <v>30</v>
          </cell>
          <cell r="I16">
            <v>30</v>
          </cell>
          <cell r="J16">
            <v>29</v>
          </cell>
          <cell r="K16">
            <v>29</v>
          </cell>
          <cell r="L16">
            <v>28</v>
          </cell>
          <cell r="M16">
            <v>174</v>
          </cell>
          <cell r="N16">
            <v>16000</v>
          </cell>
          <cell r="O16">
            <v>1740</v>
          </cell>
          <cell r="P16">
            <v>17740</v>
          </cell>
        </row>
        <row r="17">
          <cell r="B17">
            <v>5211</v>
          </cell>
          <cell r="C17" t="str">
            <v>Hayes Park</v>
          </cell>
          <cell r="G17">
            <v>92</v>
          </cell>
          <cell r="H17">
            <v>91</v>
          </cell>
          <cell r="I17">
            <v>89</v>
          </cell>
          <cell r="J17">
            <v>88</v>
          </cell>
          <cell r="K17">
            <v>92</v>
          </cell>
          <cell r="L17">
            <v>89</v>
          </cell>
          <cell r="M17">
            <v>541</v>
          </cell>
          <cell r="N17">
            <v>16000</v>
          </cell>
          <cell r="O17">
            <v>5410</v>
          </cell>
          <cell r="P17">
            <v>21410</v>
          </cell>
        </row>
        <row r="18">
          <cell r="B18">
            <v>2029</v>
          </cell>
          <cell r="C18" t="str">
            <v>Heathrow</v>
          </cell>
          <cell r="G18">
            <v>59</v>
          </cell>
          <cell r="H18">
            <v>60</v>
          </cell>
          <cell r="I18">
            <v>58</v>
          </cell>
          <cell r="J18">
            <v>60</v>
          </cell>
          <cell r="K18">
            <v>60</v>
          </cell>
          <cell r="L18">
            <v>59</v>
          </cell>
          <cell r="M18">
            <v>356</v>
          </cell>
          <cell r="N18">
            <v>16000</v>
          </cell>
          <cell r="O18">
            <v>3560</v>
          </cell>
          <cell r="P18">
            <v>19560</v>
          </cell>
        </row>
        <row r="19">
          <cell r="B19">
            <v>2061</v>
          </cell>
          <cell r="C19" t="str">
            <v>Hermitage</v>
          </cell>
          <cell r="G19">
            <v>58</v>
          </cell>
          <cell r="H19">
            <v>58</v>
          </cell>
          <cell r="I19">
            <v>57</v>
          </cell>
          <cell r="J19">
            <v>59</v>
          </cell>
          <cell r="K19">
            <v>56</v>
          </cell>
          <cell r="L19">
            <v>30</v>
          </cell>
          <cell r="M19">
            <v>318</v>
          </cell>
          <cell r="N19">
            <v>16000</v>
          </cell>
          <cell r="O19">
            <v>3180</v>
          </cell>
          <cell r="P19">
            <v>19180</v>
          </cell>
        </row>
        <row r="20">
          <cell r="B20">
            <v>2063</v>
          </cell>
          <cell r="C20" t="str">
            <v>Highfield</v>
          </cell>
          <cell r="G20">
            <v>56</v>
          </cell>
          <cell r="H20">
            <v>60</v>
          </cell>
          <cell r="I20">
            <v>46</v>
          </cell>
          <cell r="J20">
            <v>57</v>
          </cell>
          <cell r="K20">
            <v>60</v>
          </cell>
          <cell r="L20">
            <v>58</v>
          </cell>
          <cell r="M20">
            <v>337</v>
          </cell>
          <cell r="N20">
            <v>16000</v>
          </cell>
          <cell r="O20">
            <v>3370</v>
          </cell>
          <cell r="P20">
            <v>19370</v>
          </cell>
        </row>
        <row r="21">
          <cell r="B21">
            <v>3302</v>
          </cell>
          <cell r="C21" t="str">
            <v>Holy Trinity</v>
          </cell>
          <cell r="G21">
            <v>30</v>
          </cell>
          <cell r="H21">
            <v>30</v>
          </cell>
          <cell r="I21">
            <v>30</v>
          </cell>
          <cell r="J21">
            <v>30</v>
          </cell>
          <cell r="K21">
            <v>28</v>
          </cell>
          <cell r="L21">
            <v>29</v>
          </cell>
          <cell r="M21">
            <v>177</v>
          </cell>
          <cell r="N21">
            <v>16000</v>
          </cell>
          <cell r="O21">
            <v>1770</v>
          </cell>
          <cell r="P21">
            <v>17770</v>
          </cell>
        </row>
        <row r="22">
          <cell r="B22">
            <v>2064</v>
          </cell>
          <cell r="C22" t="str">
            <v>Rabbsfarm</v>
          </cell>
          <cell r="G22">
            <v>76</v>
          </cell>
          <cell r="H22">
            <v>78</v>
          </cell>
          <cell r="I22">
            <v>83</v>
          </cell>
          <cell r="J22">
            <v>85</v>
          </cell>
          <cell r="K22">
            <v>87</v>
          </cell>
          <cell r="L22">
            <v>53</v>
          </cell>
          <cell r="M22">
            <v>462</v>
          </cell>
          <cell r="N22">
            <v>16000</v>
          </cell>
          <cell r="O22">
            <v>4620</v>
          </cell>
          <cell r="P22">
            <v>20620</v>
          </cell>
        </row>
        <row r="23">
          <cell r="B23">
            <v>2080</v>
          </cell>
          <cell r="C23" t="str">
            <v>Ruislip Gardens</v>
          </cell>
          <cell r="G23">
            <v>48</v>
          </cell>
          <cell r="H23">
            <v>70</v>
          </cell>
          <cell r="I23">
            <v>58</v>
          </cell>
          <cell r="J23">
            <v>66</v>
          </cell>
          <cell r="K23">
            <v>53</v>
          </cell>
          <cell r="L23">
            <v>55</v>
          </cell>
          <cell r="M23">
            <v>350</v>
          </cell>
          <cell r="N23">
            <v>16000</v>
          </cell>
          <cell r="O23">
            <v>3500</v>
          </cell>
          <cell r="P23">
            <v>19500</v>
          </cell>
        </row>
        <row r="24">
          <cell r="B24">
            <v>3405</v>
          </cell>
          <cell r="C24" t="str">
            <v>Sacred Heart</v>
          </cell>
          <cell r="G24">
            <v>90</v>
          </cell>
          <cell r="H24">
            <v>90</v>
          </cell>
          <cell r="I24">
            <v>81</v>
          </cell>
          <cell r="J24">
            <v>88</v>
          </cell>
          <cell r="K24">
            <v>90</v>
          </cell>
          <cell r="L24">
            <v>91</v>
          </cell>
          <cell r="M24">
            <v>530</v>
          </cell>
          <cell r="N24">
            <v>16000</v>
          </cell>
          <cell r="O24">
            <v>5300</v>
          </cell>
          <cell r="P24">
            <v>21300</v>
          </cell>
        </row>
        <row r="25">
          <cell r="B25">
            <v>5208</v>
          </cell>
          <cell r="C25" t="str">
            <v>St Andrew's</v>
          </cell>
          <cell r="G25">
            <v>29</v>
          </cell>
          <cell r="H25">
            <v>30</v>
          </cell>
          <cell r="I25">
            <v>25</v>
          </cell>
          <cell r="J25">
            <v>31</v>
          </cell>
          <cell r="K25">
            <v>30</v>
          </cell>
          <cell r="L25">
            <v>29</v>
          </cell>
          <cell r="M25">
            <v>174</v>
          </cell>
          <cell r="N25">
            <v>16000</v>
          </cell>
          <cell r="O25">
            <v>1740</v>
          </cell>
          <cell r="P25">
            <v>17740</v>
          </cell>
        </row>
        <row r="26">
          <cell r="B26">
            <v>3402</v>
          </cell>
          <cell r="C26" t="str">
            <v>St Bernadette's</v>
          </cell>
          <cell r="G26">
            <v>58</v>
          </cell>
          <cell r="H26">
            <v>54</v>
          </cell>
          <cell r="I26">
            <v>60</v>
          </cell>
          <cell r="J26">
            <v>60</v>
          </cell>
          <cell r="K26">
            <v>59</v>
          </cell>
          <cell r="L26">
            <v>59</v>
          </cell>
          <cell r="M26">
            <v>350</v>
          </cell>
          <cell r="N26">
            <v>16000</v>
          </cell>
          <cell r="O26">
            <v>3500</v>
          </cell>
          <cell r="P26">
            <v>19500</v>
          </cell>
        </row>
        <row r="27">
          <cell r="B27">
            <v>3403</v>
          </cell>
          <cell r="C27" t="str">
            <v>St Catherine's</v>
          </cell>
          <cell r="G27">
            <v>31</v>
          </cell>
          <cell r="H27">
            <v>30</v>
          </cell>
          <cell r="I27">
            <v>29</v>
          </cell>
          <cell r="J27">
            <v>30</v>
          </cell>
          <cell r="K27">
            <v>30</v>
          </cell>
          <cell r="L27">
            <v>30</v>
          </cell>
          <cell r="M27">
            <v>180</v>
          </cell>
          <cell r="N27">
            <v>16000</v>
          </cell>
          <cell r="O27">
            <v>1800</v>
          </cell>
          <cell r="P27">
            <v>17800</v>
          </cell>
        </row>
        <row r="28">
          <cell r="B28">
            <v>3404</v>
          </cell>
          <cell r="C28" t="str">
            <v>St Mary's</v>
          </cell>
          <cell r="G28">
            <v>30</v>
          </cell>
          <cell r="H28">
            <v>30</v>
          </cell>
          <cell r="I28">
            <v>30</v>
          </cell>
          <cell r="J28">
            <v>30</v>
          </cell>
          <cell r="K28">
            <v>30</v>
          </cell>
          <cell r="L28">
            <v>30</v>
          </cell>
          <cell r="M28">
            <v>180</v>
          </cell>
          <cell r="N28">
            <v>16000</v>
          </cell>
          <cell r="O28">
            <v>1800</v>
          </cell>
          <cell r="P28">
            <v>17800</v>
          </cell>
        </row>
        <row r="29">
          <cell r="B29">
            <v>3400</v>
          </cell>
          <cell r="C29" t="str">
            <v>St Swithun Wells</v>
          </cell>
          <cell r="G29">
            <v>30</v>
          </cell>
          <cell r="H29">
            <v>28</v>
          </cell>
          <cell r="I29">
            <v>29</v>
          </cell>
          <cell r="J29">
            <v>29</v>
          </cell>
          <cell r="K29">
            <v>30</v>
          </cell>
          <cell r="L29">
            <v>31</v>
          </cell>
          <cell r="M29">
            <v>177</v>
          </cell>
          <cell r="N29">
            <v>16000</v>
          </cell>
          <cell r="O29">
            <v>1770</v>
          </cell>
          <cell r="P29">
            <v>17770</v>
          </cell>
        </row>
        <row r="30">
          <cell r="B30">
            <v>2065</v>
          </cell>
          <cell r="C30" t="str">
            <v>Warrender</v>
          </cell>
          <cell r="G30">
            <v>30</v>
          </cell>
          <cell r="H30">
            <v>30</v>
          </cell>
          <cell r="I30">
            <v>30</v>
          </cell>
          <cell r="J30">
            <v>29</v>
          </cell>
          <cell r="K30">
            <v>31</v>
          </cell>
          <cell r="L30">
            <v>30</v>
          </cell>
          <cell r="M30">
            <v>180</v>
          </cell>
          <cell r="N30">
            <v>16000</v>
          </cell>
          <cell r="O30">
            <v>1800</v>
          </cell>
          <cell r="P30">
            <v>17800</v>
          </cell>
        </row>
        <row r="31">
          <cell r="B31">
            <v>2012</v>
          </cell>
          <cell r="C31" t="str">
            <v>Coteford I</v>
          </cell>
          <cell r="G31">
            <v>81</v>
          </cell>
          <cell r="H31">
            <v>85</v>
          </cell>
          <cell r="M31">
            <v>166</v>
          </cell>
          <cell r="N31">
            <v>16000</v>
          </cell>
          <cell r="O31">
            <v>1660</v>
          </cell>
          <cell r="P31">
            <v>17660</v>
          </cell>
        </row>
        <row r="32">
          <cell r="B32">
            <v>2019</v>
          </cell>
          <cell r="C32" t="str">
            <v>Field End I</v>
          </cell>
          <cell r="G32">
            <v>120</v>
          </cell>
          <cell r="H32">
            <v>117</v>
          </cell>
          <cell r="M32">
            <v>237</v>
          </cell>
          <cell r="N32">
            <v>16000</v>
          </cell>
          <cell r="O32">
            <v>2370</v>
          </cell>
          <cell r="P32">
            <v>18370</v>
          </cell>
        </row>
        <row r="33">
          <cell r="B33">
            <v>5203</v>
          </cell>
          <cell r="C33" t="str">
            <v>Grange Park I</v>
          </cell>
          <cell r="G33">
            <v>115</v>
          </cell>
          <cell r="H33">
            <v>114</v>
          </cell>
          <cell r="M33">
            <v>229</v>
          </cell>
          <cell r="N33">
            <v>16000</v>
          </cell>
          <cell r="O33">
            <v>2290</v>
          </cell>
          <cell r="P33">
            <v>18290</v>
          </cell>
        </row>
        <row r="34">
          <cell r="B34">
            <v>2024</v>
          </cell>
          <cell r="C34" t="str">
            <v>Harefield I</v>
          </cell>
          <cell r="G34">
            <v>72</v>
          </cell>
          <cell r="H34">
            <v>86</v>
          </cell>
          <cell r="M34">
            <v>158</v>
          </cell>
          <cell r="N34">
            <v>16000</v>
          </cell>
          <cell r="O34">
            <v>1580</v>
          </cell>
          <cell r="P34">
            <v>17580</v>
          </cell>
        </row>
        <row r="35">
          <cell r="B35">
            <v>5204</v>
          </cell>
          <cell r="C35" t="str">
            <v>Hillside I</v>
          </cell>
          <cell r="G35">
            <v>62</v>
          </cell>
          <cell r="H35">
            <v>58</v>
          </cell>
          <cell r="M35">
            <v>120</v>
          </cell>
          <cell r="N35">
            <v>16000</v>
          </cell>
          <cell r="O35">
            <v>1200</v>
          </cell>
          <cell r="P35">
            <v>17200</v>
          </cell>
        </row>
        <row r="36">
          <cell r="B36">
            <v>2033</v>
          </cell>
          <cell r="C36" t="str">
            <v>Lady Bankes I</v>
          </cell>
          <cell r="G36">
            <v>88</v>
          </cell>
          <cell r="H36">
            <v>86</v>
          </cell>
          <cell r="M36">
            <v>174</v>
          </cell>
          <cell r="N36">
            <v>16000</v>
          </cell>
          <cell r="O36">
            <v>1740</v>
          </cell>
          <cell r="P36">
            <v>17740</v>
          </cell>
        </row>
        <row r="37">
          <cell r="B37">
            <v>2037</v>
          </cell>
          <cell r="C37" t="str">
            <v>Minet I</v>
          </cell>
          <cell r="G37">
            <v>115</v>
          </cell>
          <cell r="H37">
            <v>107</v>
          </cell>
          <cell r="M37">
            <v>222</v>
          </cell>
          <cell r="N37">
            <v>16000</v>
          </cell>
          <cell r="O37">
            <v>2220</v>
          </cell>
          <cell r="P37">
            <v>18220</v>
          </cell>
        </row>
        <row r="38">
          <cell r="B38">
            <v>2039</v>
          </cell>
          <cell r="C38" t="str">
            <v>Newnham I</v>
          </cell>
          <cell r="G38">
            <v>90</v>
          </cell>
          <cell r="H38">
            <v>90</v>
          </cell>
          <cell r="M38">
            <v>180</v>
          </cell>
          <cell r="N38">
            <v>16000</v>
          </cell>
          <cell r="O38">
            <v>1800</v>
          </cell>
          <cell r="P38">
            <v>17800</v>
          </cell>
        </row>
        <row r="39">
          <cell r="B39">
            <v>5200</v>
          </cell>
          <cell r="C39" t="str">
            <v>Oak Farm I</v>
          </cell>
          <cell r="G39">
            <v>90</v>
          </cell>
          <cell r="H39">
            <v>88</v>
          </cell>
          <cell r="M39">
            <v>178</v>
          </cell>
          <cell r="N39">
            <v>16000</v>
          </cell>
          <cell r="O39">
            <v>1780</v>
          </cell>
          <cell r="P39">
            <v>17780</v>
          </cell>
        </row>
        <row r="40">
          <cell r="B40">
            <v>2069</v>
          </cell>
          <cell r="C40" t="str">
            <v>Whitehall I</v>
          </cell>
          <cell r="G40">
            <v>102</v>
          </cell>
          <cell r="H40">
            <v>109</v>
          </cell>
          <cell r="M40">
            <v>211</v>
          </cell>
          <cell r="N40">
            <v>16000</v>
          </cell>
          <cell r="O40">
            <v>2110</v>
          </cell>
          <cell r="P40">
            <v>18110</v>
          </cell>
        </row>
        <row r="41">
          <cell r="B41">
            <v>2074</v>
          </cell>
          <cell r="C41" t="str">
            <v>Whiteheath I</v>
          </cell>
          <cell r="G41">
            <v>89</v>
          </cell>
          <cell r="H41">
            <v>90</v>
          </cell>
          <cell r="M41">
            <v>179</v>
          </cell>
          <cell r="N41">
            <v>16000</v>
          </cell>
          <cell r="O41">
            <v>1790</v>
          </cell>
          <cell r="P41">
            <v>17790</v>
          </cell>
        </row>
        <row r="42">
          <cell r="B42">
            <v>2060</v>
          </cell>
          <cell r="C42" t="str">
            <v>Yeading I</v>
          </cell>
          <cell r="G42">
            <v>120</v>
          </cell>
          <cell r="H42">
            <v>120</v>
          </cell>
          <cell r="M42">
            <v>240</v>
          </cell>
          <cell r="N42">
            <v>16000</v>
          </cell>
          <cell r="O42">
            <v>2400</v>
          </cell>
          <cell r="P42">
            <v>18400</v>
          </cell>
        </row>
        <row r="43">
          <cell r="B43">
            <v>2018</v>
          </cell>
          <cell r="C43" t="str">
            <v>Field End J</v>
          </cell>
          <cell r="I43">
            <v>113</v>
          </cell>
          <cell r="J43">
            <v>105</v>
          </cell>
          <cell r="K43">
            <v>93</v>
          </cell>
          <cell r="L43">
            <v>93</v>
          </cell>
          <cell r="M43">
            <v>404</v>
          </cell>
          <cell r="N43">
            <v>16000</v>
          </cell>
          <cell r="O43">
            <v>4040</v>
          </cell>
          <cell r="P43">
            <v>20040</v>
          </cell>
        </row>
        <row r="44">
          <cell r="B44">
            <v>5202</v>
          </cell>
          <cell r="C44" t="str">
            <v>Grange Park J</v>
          </cell>
          <cell r="I44">
            <v>86</v>
          </cell>
          <cell r="J44">
            <v>107</v>
          </cell>
          <cell r="K44">
            <v>102</v>
          </cell>
          <cell r="L44">
            <v>97</v>
          </cell>
          <cell r="M44">
            <v>392</v>
          </cell>
          <cell r="N44">
            <v>16000</v>
          </cell>
          <cell r="O44">
            <v>3920</v>
          </cell>
          <cell r="P44">
            <v>19920</v>
          </cell>
        </row>
        <row r="45">
          <cell r="B45">
            <v>2023</v>
          </cell>
          <cell r="C45" t="str">
            <v>Harefield J</v>
          </cell>
          <cell r="I45">
            <v>60</v>
          </cell>
          <cell r="J45">
            <v>68</v>
          </cell>
          <cell r="K45">
            <v>79</v>
          </cell>
          <cell r="L45">
            <v>76</v>
          </cell>
          <cell r="M45">
            <v>283</v>
          </cell>
          <cell r="N45">
            <v>16000</v>
          </cell>
          <cell r="O45">
            <v>2830</v>
          </cell>
          <cell r="P45">
            <v>18830</v>
          </cell>
        </row>
        <row r="46">
          <cell r="B46">
            <v>5205</v>
          </cell>
          <cell r="C46" t="str">
            <v>Hillside J</v>
          </cell>
          <cell r="I46">
            <v>60</v>
          </cell>
          <cell r="J46">
            <v>59</v>
          </cell>
          <cell r="K46">
            <v>55</v>
          </cell>
          <cell r="L46">
            <v>61</v>
          </cell>
          <cell r="M46">
            <v>235</v>
          </cell>
          <cell r="N46">
            <v>16000</v>
          </cell>
          <cell r="O46">
            <v>2350</v>
          </cell>
          <cell r="P46">
            <v>18350</v>
          </cell>
        </row>
        <row r="47">
          <cell r="B47">
            <v>2032</v>
          </cell>
          <cell r="C47" t="str">
            <v>Lady Bankes J</v>
          </cell>
          <cell r="I47">
            <v>83</v>
          </cell>
          <cell r="J47">
            <v>79</v>
          </cell>
          <cell r="K47">
            <v>81</v>
          </cell>
          <cell r="L47">
            <v>64</v>
          </cell>
          <cell r="M47">
            <v>307</v>
          </cell>
          <cell r="N47">
            <v>16000</v>
          </cell>
          <cell r="O47">
            <v>3070</v>
          </cell>
          <cell r="P47">
            <v>19070</v>
          </cell>
        </row>
        <row r="48">
          <cell r="B48">
            <v>2036</v>
          </cell>
          <cell r="C48" t="str">
            <v>Minet J</v>
          </cell>
          <cell r="I48">
            <v>99</v>
          </cell>
          <cell r="J48">
            <v>117</v>
          </cell>
          <cell r="K48">
            <v>119</v>
          </cell>
          <cell r="L48">
            <v>113</v>
          </cell>
          <cell r="M48">
            <v>448</v>
          </cell>
          <cell r="N48">
            <v>16000</v>
          </cell>
          <cell r="O48">
            <v>4480</v>
          </cell>
          <cell r="P48">
            <v>20480</v>
          </cell>
        </row>
        <row r="49">
          <cell r="B49">
            <v>2038</v>
          </cell>
          <cell r="C49" t="str">
            <v>Newnham J</v>
          </cell>
          <cell r="I49">
            <v>90</v>
          </cell>
          <cell r="J49">
            <v>91</v>
          </cell>
          <cell r="K49">
            <v>90</v>
          </cell>
          <cell r="L49">
            <v>90</v>
          </cell>
          <cell r="M49">
            <v>361</v>
          </cell>
          <cell r="N49">
            <v>16000</v>
          </cell>
          <cell r="O49">
            <v>3610</v>
          </cell>
          <cell r="P49">
            <v>19610</v>
          </cell>
        </row>
        <row r="50">
          <cell r="B50">
            <v>5201</v>
          </cell>
          <cell r="C50" t="str">
            <v>Oak Farm J</v>
          </cell>
          <cell r="I50">
            <v>87</v>
          </cell>
          <cell r="J50">
            <v>90</v>
          </cell>
          <cell r="K50">
            <v>90</v>
          </cell>
          <cell r="L50">
            <v>90</v>
          </cell>
          <cell r="M50">
            <v>357</v>
          </cell>
          <cell r="N50">
            <v>16000</v>
          </cell>
          <cell r="O50">
            <v>3570</v>
          </cell>
          <cell r="P50">
            <v>19570</v>
          </cell>
        </row>
        <row r="51">
          <cell r="B51">
            <v>2052</v>
          </cell>
          <cell r="C51" t="str">
            <v>Whitehall J</v>
          </cell>
          <cell r="I51">
            <v>98</v>
          </cell>
          <cell r="J51">
            <v>107</v>
          </cell>
          <cell r="K51">
            <v>111</v>
          </cell>
          <cell r="L51">
            <v>89</v>
          </cell>
          <cell r="M51">
            <v>405</v>
          </cell>
          <cell r="N51">
            <v>16000</v>
          </cell>
          <cell r="O51">
            <v>4050</v>
          </cell>
          <cell r="P51">
            <v>20050</v>
          </cell>
        </row>
        <row r="52">
          <cell r="B52">
            <v>2054</v>
          </cell>
          <cell r="C52" t="str">
            <v>Whiteheath J</v>
          </cell>
          <cell r="I52">
            <v>88</v>
          </cell>
          <cell r="J52">
            <v>88</v>
          </cell>
          <cell r="K52">
            <v>88</v>
          </cell>
          <cell r="L52">
            <v>86</v>
          </cell>
          <cell r="M52">
            <v>350</v>
          </cell>
          <cell r="N52">
            <v>16000</v>
          </cell>
          <cell r="O52">
            <v>3500</v>
          </cell>
          <cell r="P52">
            <v>19500</v>
          </cell>
        </row>
        <row r="53">
          <cell r="B53">
            <v>2059</v>
          </cell>
          <cell r="C53" t="str">
            <v>Yeading J</v>
          </cell>
          <cell r="I53">
            <v>112</v>
          </cell>
          <cell r="J53">
            <v>126</v>
          </cell>
          <cell r="K53">
            <v>121</v>
          </cell>
          <cell r="L53">
            <v>124</v>
          </cell>
          <cell r="M53">
            <v>483</v>
          </cell>
          <cell r="N53">
            <v>16000</v>
          </cell>
          <cell r="O53">
            <v>4830</v>
          </cell>
          <cell r="P53">
            <v>20830</v>
          </cell>
        </row>
        <row r="54">
          <cell r="B54">
            <v>7009</v>
          </cell>
          <cell r="C54" t="str">
            <v>Hedgewood</v>
          </cell>
          <cell r="G54">
            <v>25</v>
          </cell>
          <cell r="H54">
            <v>21</v>
          </cell>
          <cell r="I54">
            <v>16</v>
          </cell>
          <cell r="J54">
            <v>30</v>
          </cell>
          <cell r="K54">
            <v>18</v>
          </cell>
          <cell r="L54">
            <v>28</v>
          </cell>
          <cell r="M54">
            <v>138</v>
          </cell>
          <cell r="N54">
            <v>16000</v>
          </cell>
          <cell r="O54">
            <v>1380</v>
          </cell>
          <cell r="P54">
            <v>17380</v>
          </cell>
        </row>
      </sheetData>
      <sheetData sheetId="6">
        <row r="5">
          <cell r="B5">
            <v>2003</v>
          </cell>
          <cell r="C5" t="str">
            <v>Bourne Primary School</v>
          </cell>
          <cell r="D5" t="str">
            <v>PS</v>
          </cell>
          <cell r="E5">
            <v>86</v>
          </cell>
          <cell r="F5">
            <v>75</v>
          </cell>
          <cell r="G5">
            <v>9</v>
          </cell>
          <cell r="H5">
            <v>66</v>
          </cell>
          <cell r="I5">
            <v>102</v>
          </cell>
          <cell r="K5">
            <v>28842</v>
          </cell>
        </row>
        <row r="6">
          <cell r="B6">
            <v>2004</v>
          </cell>
          <cell r="C6" t="str">
            <v>THE BREAKSPEAR SCHOOL</v>
          </cell>
          <cell r="D6" t="str">
            <v>PS</v>
          </cell>
          <cell r="E6">
            <v>251</v>
          </cell>
          <cell r="F6">
            <v>222</v>
          </cell>
          <cell r="G6">
            <v>3</v>
          </cell>
          <cell r="H6">
            <v>219</v>
          </cell>
          <cell r="I6">
            <v>102</v>
          </cell>
          <cell r="K6">
            <v>95703</v>
          </cell>
        </row>
        <row r="7">
          <cell r="B7">
            <v>2010</v>
          </cell>
          <cell r="C7" t="str">
            <v>Colham Manor Primary School</v>
          </cell>
          <cell r="D7" t="str">
            <v>PS</v>
          </cell>
          <cell r="E7">
            <v>256</v>
          </cell>
          <cell r="F7">
            <v>220</v>
          </cell>
          <cell r="G7">
            <v>62</v>
          </cell>
          <cell r="H7">
            <v>158</v>
          </cell>
          <cell r="I7">
            <v>102</v>
          </cell>
          <cell r="K7">
            <v>69046</v>
          </cell>
        </row>
        <row r="8">
          <cell r="B8">
            <v>2012</v>
          </cell>
          <cell r="C8" t="str">
            <v>Coteford Infant School</v>
          </cell>
          <cell r="D8" t="str">
            <v>PS</v>
          </cell>
          <cell r="E8">
            <v>239</v>
          </cell>
          <cell r="F8">
            <v>204</v>
          </cell>
          <cell r="G8">
            <v>35</v>
          </cell>
          <cell r="H8">
            <v>169</v>
          </cell>
          <cell r="I8">
            <v>102</v>
          </cell>
          <cell r="K8">
            <v>73853</v>
          </cell>
        </row>
        <row r="9">
          <cell r="B9">
            <v>2016</v>
          </cell>
          <cell r="C9" t="str">
            <v>Deanesfield Primary School</v>
          </cell>
          <cell r="D9" t="str">
            <v>PS</v>
          </cell>
          <cell r="E9">
            <v>269</v>
          </cell>
          <cell r="F9">
            <v>251</v>
          </cell>
          <cell r="G9">
            <v>42</v>
          </cell>
          <cell r="H9">
            <v>209</v>
          </cell>
          <cell r="I9">
            <v>102</v>
          </cell>
          <cell r="K9">
            <v>91333</v>
          </cell>
        </row>
        <row r="10">
          <cell r="B10">
            <v>2019</v>
          </cell>
          <cell r="C10" t="str">
            <v>FIELD END INFANT SCHOOL</v>
          </cell>
          <cell r="D10" t="str">
            <v>PS</v>
          </cell>
          <cell r="E10">
            <v>352</v>
          </cell>
          <cell r="F10">
            <v>323</v>
          </cell>
          <cell r="G10">
            <v>18</v>
          </cell>
          <cell r="H10">
            <v>305</v>
          </cell>
          <cell r="I10">
            <v>102</v>
          </cell>
          <cell r="K10">
            <v>133285</v>
          </cell>
        </row>
        <row r="11">
          <cell r="B11">
            <v>2020</v>
          </cell>
          <cell r="C11" t="str">
            <v>Glebe Primary School</v>
          </cell>
          <cell r="D11" t="str">
            <v>PS</v>
          </cell>
          <cell r="E11">
            <v>263</v>
          </cell>
          <cell r="F11">
            <v>225</v>
          </cell>
          <cell r="G11">
            <v>5</v>
          </cell>
          <cell r="H11">
            <v>220</v>
          </cell>
          <cell r="I11">
            <v>102</v>
          </cell>
          <cell r="K11">
            <v>96140</v>
          </cell>
        </row>
        <row r="12">
          <cell r="B12">
            <v>2024</v>
          </cell>
          <cell r="C12" t="str">
            <v>HAREFIELD INFANT SCHOOL</v>
          </cell>
          <cell r="D12" t="str">
            <v>PS</v>
          </cell>
          <cell r="E12">
            <v>226</v>
          </cell>
          <cell r="F12">
            <v>205</v>
          </cell>
          <cell r="G12">
            <v>32</v>
          </cell>
          <cell r="H12">
            <v>173</v>
          </cell>
          <cell r="I12">
            <v>102</v>
          </cell>
          <cell r="K12">
            <v>75601</v>
          </cell>
        </row>
        <row r="13">
          <cell r="B13">
            <v>2025</v>
          </cell>
          <cell r="C13" t="str">
            <v>HARLYN PRIMARY SCHOOL</v>
          </cell>
          <cell r="D13" t="str">
            <v>PS</v>
          </cell>
          <cell r="E13">
            <v>225</v>
          </cell>
          <cell r="F13">
            <v>179</v>
          </cell>
          <cell r="G13">
            <v>10</v>
          </cell>
          <cell r="H13">
            <v>169</v>
          </cell>
          <cell r="I13">
            <v>102</v>
          </cell>
          <cell r="K13">
            <v>73853</v>
          </cell>
        </row>
        <row r="14">
          <cell r="B14">
            <v>2026</v>
          </cell>
          <cell r="C14" t="str">
            <v>HARMONDSWORTH PRIMARY</v>
          </cell>
          <cell r="D14" t="str">
            <v>PS</v>
          </cell>
          <cell r="E14">
            <v>86</v>
          </cell>
          <cell r="F14">
            <v>72</v>
          </cell>
          <cell r="G14">
            <v>10</v>
          </cell>
          <cell r="H14">
            <v>62</v>
          </cell>
          <cell r="I14">
            <v>102</v>
          </cell>
          <cell r="K14">
            <v>27094</v>
          </cell>
        </row>
        <row r="15">
          <cell r="B15">
            <v>2029</v>
          </cell>
          <cell r="C15" t="str">
            <v>HEATHROW PRIMARY SCHOOL</v>
          </cell>
          <cell r="D15" t="str">
            <v>PS</v>
          </cell>
          <cell r="E15">
            <v>177</v>
          </cell>
          <cell r="F15">
            <v>148</v>
          </cell>
          <cell r="G15">
            <v>15</v>
          </cell>
          <cell r="H15">
            <v>133</v>
          </cell>
          <cell r="I15">
            <v>102</v>
          </cell>
          <cell r="K15">
            <v>58121</v>
          </cell>
        </row>
        <row r="16">
          <cell r="B16">
            <v>2033</v>
          </cell>
          <cell r="C16" t="str">
            <v>Lady Bankes Infant School</v>
          </cell>
          <cell r="D16" t="str">
            <v>PS</v>
          </cell>
          <cell r="E16">
            <v>264</v>
          </cell>
          <cell r="F16">
            <v>210</v>
          </cell>
          <cell r="G16">
            <v>19</v>
          </cell>
          <cell r="H16">
            <v>191</v>
          </cell>
          <cell r="I16">
            <v>102</v>
          </cell>
          <cell r="K16">
            <v>83467</v>
          </cell>
        </row>
        <row r="17">
          <cell r="B17">
            <v>2037</v>
          </cell>
          <cell r="C17" t="str">
            <v>MINET INFANT SCHOOL</v>
          </cell>
          <cell r="D17" t="str">
            <v>PS</v>
          </cell>
          <cell r="E17">
            <v>337</v>
          </cell>
          <cell r="F17">
            <v>245</v>
          </cell>
          <cell r="G17">
            <v>42</v>
          </cell>
          <cell r="H17">
            <v>203</v>
          </cell>
          <cell r="I17">
            <v>102</v>
          </cell>
          <cell r="K17">
            <v>88711</v>
          </cell>
        </row>
        <row r="18">
          <cell r="B18">
            <v>2039</v>
          </cell>
          <cell r="C18" t="str">
            <v>Newnham Infant School</v>
          </cell>
          <cell r="D18" t="str">
            <v>PS</v>
          </cell>
          <cell r="E18">
            <v>270</v>
          </cell>
          <cell r="F18">
            <v>253</v>
          </cell>
          <cell r="G18">
            <v>13</v>
          </cell>
          <cell r="H18">
            <v>240</v>
          </cell>
          <cell r="I18">
            <v>102</v>
          </cell>
          <cell r="K18">
            <v>104880</v>
          </cell>
        </row>
        <row r="19">
          <cell r="B19">
            <v>2060</v>
          </cell>
          <cell r="C19" t="str">
            <v>YEADING INF AND NURSERY SCHOOL</v>
          </cell>
          <cell r="D19" t="str">
            <v>PS</v>
          </cell>
          <cell r="E19">
            <v>360</v>
          </cell>
          <cell r="F19">
            <v>338</v>
          </cell>
          <cell r="G19">
            <v>30</v>
          </cell>
          <cell r="H19">
            <v>308</v>
          </cell>
          <cell r="I19">
            <v>102</v>
          </cell>
          <cell r="K19">
            <v>134596</v>
          </cell>
        </row>
        <row r="20">
          <cell r="B20">
            <v>2061</v>
          </cell>
          <cell r="C20" t="str">
            <v>Hermitage Primary School</v>
          </cell>
          <cell r="D20" t="str">
            <v>PS</v>
          </cell>
          <cell r="E20">
            <v>173</v>
          </cell>
          <cell r="F20">
            <v>138</v>
          </cell>
          <cell r="G20">
            <v>16</v>
          </cell>
          <cell r="H20">
            <v>122</v>
          </cell>
          <cell r="I20">
            <v>102</v>
          </cell>
          <cell r="K20">
            <v>53314</v>
          </cell>
        </row>
        <row r="21">
          <cell r="B21">
            <v>2063</v>
          </cell>
          <cell r="C21" t="str">
            <v>HIGHFIELD PRIMARY SCHOOL</v>
          </cell>
          <cell r="D21" t="str">
            <v>PS</v>
          </cell>
          <cell r="E21">
            <v>154</v>
          </cell>
          <cell r="F21">
            <v>140</v>
          </cell>
          <cell r="G21">
            <v>11</v>
          </cell>
          <cell r="H21">
            <v>129</v>
          </cell>
          <cell r="I21">
            <v>102</v>
          </cell>
          <cell r="K21">
            <v>56373</v>
          </cell>
        </row>
        <row r="22">
          <cell r="B22">
            <v>2064</v>
          </cell>
          <cell r="C22" t="str">
            <v>Rabbsfarm Primary School</v>
          </cell>
          <cell r="D22" t="str">
            <v>PS</v>
          </cell>
          <cell r="E22">
            <v>240</v>
          </cell>
          <cell r="F22">
            <v>175</v>
          </cell>
          <cell r="G22">
            <v>47</v>
          </cell>
          <cell r="H22">
            <v>128</v>
          </cell>
          <cell r="I22">
            <v>102</v>
          </cell>
          <cell r="K22">
            <v>55936</v>
          </cell>
        </row>
        <row r="23">
          <cell r="B23">
            <v>2065</v>
          </cell>
          <cell r="C23" t="str">
            <v>WARRENDER PRIMARY SCHOOL</v>
          </cell>
          <cell r="D23" t="str">
            <v>PS</v>
          </cell>
          <cell r="E23">
            <v>90</v>
          </cell>
          <cell r="F23">
            <v>88</v>
          </cell>
          <cell r="G23">
            <v>1</v>
          </cell>
          <cell r="H23">
            <v>87</v>
          </cell>
          <cell r="I23">
            <v>102</v>
          </cell>
          <cell r="K23">
            <v>38019</v>
          </cell>
        </row>
        <row r="24">
          <cell r="B24">
            <v>2069</v>
          </cell>
          <cell r="C24" t="str">
            <v>Whitehall Infant School</v>
          </cell>
          <cell r="D24" t="str">
            <v>PS</v>
          </cell>
          <cell r="E24">
            <v>313</v>
          </cell>
          <cell r="F24">
            <v>255</v>
          </cell>
          <cell r="G24">
            <v>56</v>
          </cell>
          <cell r="H24">
            <v>199</v>
          </cell>
          <cell r="I24">
            <v>102</v>
          </cell>
          <cell r="K24">
            <v>86963</v>
          </cell>
        </row>
        <row r="25">
          <cell r="B25">
            <v>2074</v>
          </cell>
          <cell r="C25" t="str">
            <v>WHITEHEATH INFANT SCHOOL</v>
          </cell>
          <cell r="D25" t="str">
            <v>PS</v>
          </cell>
          <cell r="E25">
            <v>269</v>
          </cell>
          <cell r="F25">
            <v>205</v>
          </cell>
          <cell r="G25">
            <v>3</v>
          </cell>
          <cell r="H25">
            <v>202</v>
          </cell>
          <cell r="I25">
            <v>102</v>
          </cell>
          <cell r="K25">
            <v>88274</v>
          </cell>
        </row>
        <row r="26">
          <cell r="B26">
            <v>2076</v>
          </cell>
          <cell r="C26" t="str">
            <v>Frithwood Primary School</v>
          </cell>
          <cell r="D26" t="str">
            <v>PS</v>
          </cell>
          <cell r="E26">
            <v>175</v>
          </cell>
          <cell r="F26">
            <v>155</v>
          </cell>
          <cell r="G26">
            <v>10</v>
          </cell>
          <cell r="H26">
            <v>145</v>
          </cell>
          <cell r="I26">
            <v>102</v>
          </cell>
          <cell r="K26">
            <v>63365</v>
          </cell>
        </row>
        <row r="27">
          <cell r="B27">
            <v>2080</v>
          </cell>
          <cell r="C27" t="str">
            <v>Ruislip Gardens Primary School</v>
          </cell>
          <cell r="D27" t="str">
            <v>PS</v>
          </cell>
          <cell r="E27">
            <v>173</v>
          </cell>
          <cell r="F27">
            <v>157</v>
          </cell>
          <cell r="G27">
            <v>14</v>
          </cell>
          <cell r="H27">
            <v>143</v>
          </cell>
          <cell r="I27">
            <v>102</v>
          </cell>
          <cell r="K27">
            <v>62491</v>
          </cell>
        </row>
        <row r="28">
          <cell r="B28">
            <v>2084</v>
          </cell>
          <cell r="C28" t="str">
            <v>Cherry Lane Primary</v>
          </cell>
          <cell r="D28" t="str">
            <v>PS</v>
          </cell>
          <cell r="E28">
            <v>259</v>
          </cell>
          <cell r="F28">
            <v>234</v>
          </cell>
          <cell r="G28">
            <v>41</v>
          </cell>
          <cell r="H28">
            <v>193</v>
          </cell>
          <cell r="I28">
            <v>102</v>
          </cell>
          <cell r="K28">
            <v>84341</v>
          </cell>
        </row>
        <row r="29">
          <cell r="B29">
            <v>3300</v>
          </cell>
          <cell r="C29" t="str">
            <v>BWI C.E. PRIMARY SCHOOL</v>
          </cell>
          <cell r="D29" t="str">
            <v>PS</v>
          </cell>
          <cell r="E29">
            <v>119</v>
          </cell>
          <cell r="F29">
            <v>113</v>
          </cell>
          <cell r="G29">
            <v>11</v>
          </cell>
          <cell r="H29">
            <v>102</v>
          </cell>
          <cell r="I29">
            <v>102</v>
          </cell>
          <cell r="K29">
            <v>44574</v>
          </cell>
        </row>
        <row r="30">
          <cell r="B30">
            <v>3302</v>
          </cell>
          <cell r="C30" t="str">
            <v>Holy Trinity CofE Primary School</v>
          </cell>
          <cell r="D30" t="str">
            <v>PS</v>
          </cell>
          <cell r="E30">
            <v>90</v>
          </cell>
          <cell r="F30">
            <v>79</v>
          </cell>
          <cell r="G30">
            <v>6</v>
          </cell>
          <cell r="H30">
            <v>73</v>
          </cell>
          <cell r="I30">
            <v>102</v>
          </cell>
          <cell r="K30">
            <v>31901</v>
          </cell>
        </row>
        <row r="31">
          <cell r="B31">
            <v>3307</v>
          </cell>
          <cell r="C31" t="str">
            <v>Dr. Triplett's C.E. Primary</v>
          </cell>
          <cell r="D31" t="str">
            <v>PS</v>
          </cell>
          <cell r="E31">
            <v>176</v>
          </cell>
          <cell r="F31">
            <v>150</v>
          </cell>
          <cell r="G31">
            <v>15</v>
          </cell>
          <cell r="H31">
            <v>135</v>
          </cell>
          <cell r="I31">
            <v>102</v>
          </cell>
          <cell r="K31">
            <v>58995</v>
          </cell>
        </row>
        <row r="32">
          <cell r="B32">
            <v>3400</v>
          </cell>
          <cell r="C32" t="str">
            <v>ST SWITHUN WELLS' CATHOLIC PRIMARY</v>
          </cell>
          <cell r="D32" t="str">
            <v>PS</v>
          </cell>
          <cell r="E32">
            <v>88</v>
          </cell>
          <cell r="F32">
            <v>73</v>
          </cell>
          <cell r="G32">
            <v>0</v>
          </cell>
          <cell r="H32">
            <v>73</v>
          </cell>
          <cell r="I32">
            <v>102</v>
          </cell>
          <cell r="K32">
            <v>31901</v>
          </cell>
        </row>
        <row r="33">
          <cell r="B33">
            <v>3401</v>
          </cell>
          <cell r="C33" t="str">
            <v>Botwell House Catholic Primary School</v>
          </cell>
          <cell r="D33" t="str">
            <v>PS</v>
          </cell>
          <cell r="E33">
            <v>262</v>
          </cell>
          <cell r="F33">
            <v>215</v>
          </cell>
          <cell r="G33">
            <v>24</v>
          </cell>
          <cell r="H33">
            <v>191</v>
          </cell>
          <cell r="I33">
            <v>102</v>
          </cell>
          <cell r="K33">
            <v>83467</v>
          </cell>
        </row>
        <row r="34">
          <cell r="B34">
            <v>3402</v>
          </cell>
          <cell r="C34" t="str">
            <v>St Bernadette Catholic Primary School</v>
          </cell>
          <cell r="D34" t="str">
            <v>PS</v>
          </cell>
          <cell r="E34">
            <v>172</v>
          </cell>
          <cell r="F34">
            <v>148</v>
          </cell>
          <cell r="G34">
            <v>2</v>
          </cell>
          <cell r="H34">
            <v>146</v>
          </cell>
          <cell r="I34">
            <v>102</v>
          </cell>
          <cell r="K34">
            <v>63802</v>
          </cell>
        </row>
        <row r="35">
          <cell r="B35">
            <v>3403</v>
          </cell>
          <cell r="C35" t="str">
            <v>St.Catherine Catholic Primary School</v>
          </cell>
          <cell r="D35" t="str">
            <v>PS</v>
          </cell>
          <cell r="E35">
            <v>91</v>
          </cell>
          <cell r="F35">
            <v>79</v>
          </cell>
          <cell r="G35">
            <v>6</v>
          </cell>
          <cell r="H35">
            <v>73</v>
          </cell>
          <cell r="I35">
            <v>102</v>
          </cell>
          <cell r="K35">
            <v>31901</v>
          </cell>
        </row>
        <row r="36">
          <cell r="B36">
            <v>3404</v>
          </cell>
          <cell r="C36" t="str">
            <v>St Mary's Catholic Primary School</v>
          </cell>
          <cell r="D36" t="str">
            <v>PS</v>
          </cell>
          <cell r="E36">
            <v>90</v>
          </cell>
          <cell r="F36">
            <v>89</v>
          </cell>
          <cell r="G36">
            <v>7</v>
          </cell>
          <cell r="H36">
            <v>82</v>
          </cell>
          <cell r="I36">
            <v>102</v>
          </cell>
          <cell r="K36">
            <v>35834</v>
          </cell>
        </row>
        <row r="37">
          <cell r="B37">
            <v>3405</v>
          </cell>
          <cell r="C37" t="str">
            <v>Sacred Heart Catholic Primary School</v>
          </cell>
          <cell r="D37" t="str">
            <v>PS</v>
          </cell>
          <cell r="E37">
            <v>270</v>
          </cell>
          <cell r="F37">
            <v>208</v>
          </cell>
          <cell r="G37">
            <v>1</v>
          </cell>
          <cell r="H37">
            <v>207</v>
          </cell>
          <cell r="I37">
            <v>102</v>
          </cell>
          <cell r="K37">
            <v>90459</v>
          </cell>
        </row>
        <row r="38">
          <cell r="B38">
            <v>5200</v>
          </cell>
          <cell r="C38" t="str">
            <v>Oak Farm Infant School</v>
          </cell>
          <cell r="D38" t="str">
            <v>PS</v>
          </cell>
          <cell r="E38">
            <v>268</v>
          </cell>
          <cell r="F38">
            <v>244</v>
          </cell>
          <cell r="G38">
            <v>17</v>
          </cell>
          <cell r="H38">
            <v>227</v>
          </cell>
          <cell r="I38">
            <v>102</v>
          </cell>
          <cell r="K38">
            <v>99199</v>
          </cell>
        </row>
        <row r="39">
          <cell r="B39">
            <v>5203</v>
          </cell>
          <cell r="C39" t="str">
            <v>L B Hillingdon Grange Park Inf</v>
          </cell>
          <cell r="D39" t="str">
            <v>PS</v>
          </cell>
          <cell r="E39">
            <v>321</v>
          </cell>
          <cell r="F39">
            <v>294</v>
          </cell>
          <cell r="G39">
            <v>51</v>
          </cell>
          <cell r="H39">
            <v>243</v>
          </cell>
          <cell r="I39">
            <v>102</v>
          </cell>
          <cell r="K39">
            <v>106191</v>
          </cell>
        </row>
        <row r="40">
          <cell r="B40">
            <v>5204</v>
          </cell>
          <cell r="C40" t="str">
            <v>Hillside Infant School</v>
          </cell>
          <cell r="D40" t="str">
            <v>PS</v>
          </cell>
          <cell r="E40">
            <v>163</v>
          </cell>
          <cell r="F40">
            <v>138</v>
          </cell>
          <cell r="G40">
            <v>21</v>
          </cell>
          <cell r="H40">
            <v>117</v>
          </cell>
          <cell r="I40">
            <v>102</v>
          </cell>
          <cell r="K40">
            <v>51129</v>
          </cell>
        </row>
        <row r="41">
          <cell r="B41">
            <v>5208</v>
          </cell>
          <cell r="C41" t="str">
            <v>ST. ANDREW'S C OF E PRIMARY</v>
          </cell>
          <cell r="D41" t="str">
            <v>PS</v>
          </cell>
          <cell r="E41">
            <v>89</v>
          </cell>
          <cell r="F41">
            <v>75</v>
          </cell>
          <cell r="G41">
            <v>10</v>
          </cell>
          <cell r="H41">
            <v>65</v>
          </cell>
          <cell r="I41">
            <v>102</v>
          </cell>
          <cell r="K41">
            <v>28405</v>
          </cell>
        </row>
        <row r="42">
          <cell r="B42">
            <v>5211</v>
          </cell>
          <cell r="C42" t="str">
            <v>Hayes Park</v>
          </cell>
          <cell r="D42" t="str">
            <v>PS</v>
          </cell>
          <cell r="E42">
            <v>269</v>
          </cell>
          <cell r="F42">
            <v>226</v>
          </cell>
          <cell r="G42">
            <v>20</v>
          </cell>
          <cell r="H42">
            <v>206</v>
          </cell>
          <cell r="I42">
            <v>102</v>
          </cell>
          <cell r="K42">
            <v>90022</v>
          </cell>
        </row>
        <row r="43">
          <cell r="B43">
            <v>7009</v>
          </cell>
          <cell r="C43" t="str">
            <v>HEDGEWOOD SCHOOL</v>
          </cell>
          <cell r="D43" t="str">
            <v>SP</v>
          </cell>
          <cell r="E43">
            <v>54</v>
          </cell>
          <cell r="F43">
            <v>51</v>
          </cell>
          <cell r="G43">
            <v>15</v>
          </cell>
          <cell r="H43">
            <v>36</v>
          </cell>
          <cell r="I43">
            <v>102</v>
          </cell>
          <cell r="K43">
            <v>15732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raft (Universal)"/>
      <sheetName val="Draft (Extended)"/>
      <sheetName val="Sheet1"/>
      <sheetName val="Pass through"/>
      <sheetName val="Summer"/>
      <sheetName val="Autumn"/>
      <sheetName val="Spring"/>
      <sheetName val="Additional 15 hrs Schools"/>
    </sheetNames>
    <sheetDataSet>
      <sheetData sheetId="0">
        <row r="9">
          <cell r="A9" t="str">
            <v>4 Street Nursery - 857 - Day nursery</v>
          </cell>
          <cell r="B9" t="str">
            <v>PVI</v>
          </cell>
          <cell r="D9">
            <v>6735</v>
          </cell>
          <cell r="E9">
            <v>1560</v>
          </cell>
          <cell r="F9">
            <v>3928.5</v>
          </cell>
          <cell r="G9">
            <v>12223.5</v>
          </cell>
          <cell r="I9">
            <v>4.915526586568746</v>
          </cell>
          <cell r="J9">
            <v>60084.93923092307</v>
          </cell>
          <cell r="L9">
            <v>0.10495454545454547</v>
          </cell>
          <cell r="M9">
            <v>1282.9118863636365</v>
          </cell>
          <cell r="N9">
            <v>2359.393161772826</v>
          </cell>
          <cell r="O9">
            <v>0.19302107921404063</v>
          </cell>
          <cell r="Q9" t="str">
            <v>N</v>
          </cell>
          <cell r="R9">
            <v>0</v>
          </cell>
          <cell r="S9">
            <v>0</v>
          </cell>
          <cell r="U9">
            <v>5.108547665782787</v>
          </cell>
        </row>
        <row r="10">
          <cell r="A10" t="str">
            <v>Alexandra Jane Jukes - 2261 - Childminder</v>
          </cell>
          <cell r="B10" t="str">
            <v>PVI</v>
          </cell>
          <cell r="D10">
            <v>0</v>
          </cell>
          <cell r="E10">
            <v>195</v>
          </cell>
          <cell r="F10">
            <v>180</v>
          </cell>
          <cell r="G10">
            <v>375</v>
          </cell>
          <cell r="I10">
            <v>4.915526586568746</v>
          </cell>
          <cell r="J10">
            <v>1843.32246996328</v>
          </cell>
          <cell r="L10">
            <v>0.11266666666666668</v>
          </cell>
          <cell r="M10">
            <v>42.25000000000001</v>
          </cell>
          <cell r="N10">
            <v>77.70164275853217</v>
          </cell>
          <cell r="O10">
            <v>0.20720438068941913</v>
          </cell>
          <cell r="Q10" t="str">
            <v>N</v>
          </cell>
          <cell r="R10">
            <v>0</v>
          </cell>
          <cell r="S10">
            <v>0</v>
          </cell>
          <cell r="U10">
            <v>5.122730967258166</v>
          </cell>
        </row>
        <row r="11">
          <cell r="A11" t="str">
            <v>Amanda Jane Hopson - 570 - Childminder</v>
          </cell>
          <cell r="B11" t="str">
            <v>PVI</v>
          </cell>
          <cell r="D11">
            <v>390</v>
          </cell>
          <cell r="E11">
            <v>0</v>
          </cell>
          <cell r="F11">
            <v>540</v>
          </cell>
          <cell r="G11">
            <v>930</v>
          </cell>
          <cell r="I11">
            <v>4.915526586568746</v>
          </cell>
          <cell r="J11">
            <v>4571.439725508934</v>
          </cell>
          <cell r="L11">
            <v>0.20533333333333328</v>
          </cell>
          <cell r="M11">
            <v>190.95999999999995</v>
          </cell>
          <cell r="N11">
            <v>351.19303434720234</v>
          </cell>
          <cell r="O11">
            <v>0.37762691865290576</v>
          </cell>
          <cell r="Q11" t="str">
            <v>N</v>
          </cell>
          <cell r="R11">
            <v>0</v>
          </cell>
          <cell r="S11">
            <v>0</v>
          </cell>
          <cell r="U11">
            <v>5.293153505221652</v>
          </cell>
        </row>
        <row r="12">
          <cell r="A12" t="str">
            <v>Amanda Mary Whiter - 2219 - Childminder</v>
          </cell>
          <cell r="B12" t="str">
            <v>PVI</v>
          </cell>
          <cell r="D12">
            <v>390</v>
          </cell>
          <cell r="E12">
            <v>780</v>
          </cell>
          <cell r="F12">
            <v>540</v>
          </cell>
          <cell r="G12">
            <v>1710</v>
          </cell>
          <cell r="I12">
            <v>4.915526586568746</v>
          </cell>
          <cell r="J12">
            <v>8405.550463032556</v>
          </cell>
          <cell r="L12">
            <v>0.08999999999999998</v>
          </cell>
          <cell r="M12">
            <v>153.89999999999998</v>
          </cell>
          <cell r="N12">
            <v>283.03627977604964</v>
          </cell>
          <cell r="O12">
            <v>0.1655182922666957</v>
          </cell>
          <cell r="Q12" t="str">
            <v>N</v>
          </cell>
          <cell r="R12">
            <v>0</v>
          </cell>
          <cell r="S12">
            <v>0</v>
          </cell>
          <cell r="U12">
            <v>5.081044878835442</v>
          </cell>
        </row>
        <row r="13">
          <cell r="A13" t="str">
            <v>Ann Atkins - 3033 - Childminder</v>
          </cell>
          <cell r="B13" t="str">
            <v>PVI</v>
          </cell>
          <cell r="D13">
            <v>0</v>
          </cell>
          <cell r="E13">
            <v>0</v>
          </cell>
          <cell r="F13">
            <v>180</v>
          </cell>
          <cell r="G13">
            <v>180</v>
          </cell>
          <cell r="I13">
            <v>4.915526586568746</v>
          </cell>
          <cell r="J13">
            <v>884.7947855823743</v>
          </cell>
          <cell r="L13">
            <v>0.304</v>
          </cell>
          <cell r="M13">
            <v>54.72</v>
          </cell>
          <cell r="N13">
            <v>100.63512169815101</v>
          </cell>
          <cell r="O13">
            <v>0.5590840094341722</v>
          </cell>
          <cell r="Q13" t="str">
            <v>Y</v>
          </cell>
          <cell r="R13">
            <v>0.30354460766261576</v>
          </cell>
          <cell r="S13">
            <v>54.63802937927084</v>
          </cell>
          <cell r="U13">
            <v>5.778155203665534</v>
          </cell>
        </row>
        <row r="14">
          <cell r="A14" t="str">
            <v>Azra Parveen - 624 - Childminder</v>
          </cell>
          <cell r="B14" t="str">
            <v>PVI</v>
          </cell>
          <cell r="D14">
            <v>910</v>
          </cell>
          <cell r="E14">
            <v>195</v>
          </cell>
          <cell r="F14">
            <v>360</v>
          </cell>
          <cell r="G14">
            <v>1465</v>
          </cell>
          <cell r="I14">
            <v>4.915526586568746</v>
          </cell>
          <cell r="J14">
            <v>7201.246449323214</v>
          </cell>
          <cell r="L14">
            <v>0.2697142857142857</v>
          </cell>
          <cell r="M14">
            <v>395.1314285714285</v>
          </cell>
          <cell r="N14">
            <v>726.6831030893635</v>
          </cell>
          <cell r="O14">
            <v>0.4960294219040024</v>
          </cell>
          <cell r="Q14" t="str">
            <v>Y</v>
          </cell>
          <cell r="R14">
            <v>0.30354460766261576</v>
          </cell>
          <cell r="S14">
            <v>444.6928502257321</v>
          </cell>
          <cell r="U14">
            <v>5.715100616135365</v>
          </cell>
        </row>
        <row r="15">
          <cell r="A15" t="str">
            <v>Blue House Daycare - 3698 - Day nursery</v>
          </cell>
          <cell r="B15" t="str">
            <v>PVI</v>
          </cell>
          <cell r="D15">
            <v>585</v>
          </cell>
          <cell r="E15">
            <v>570</v>
          </cell>
          <cell r="F15">
            <v>540</v>
          </cell>
          <cell r="G15">
            <v>1695</v>
          </cell>
          <cell r="I15">
            <v>4.915526586568746</v>
          </cell>
          <cell r="J15">
            <v>8331.817564234025</v>
          </cell>
          <cell r="L15">
            <v>0.25575</v>
          </cell>
          <cell r="M15">
            <v>433.49625</v>
          </cell>
          <cell r="N15">
            <v>797.2395444890733</v>
          </cell>
          <cell r="O15">
            <v>0.47034781385786034</v>
          </cell>
          <cell r="Q15" t="str">
            <v>Y</v>
          </cell>
          <cell r="R15">
            <v>0.30354460766261576</v>
          </cell>
          <cell r="S15">
            <v>514.5081099881337</v>
          </cell>
          <cell r="U15">
            <v>5.689419008089223</v>
          </cell>
        </row>
        <row r="16">
          <cell r="A16" t="str">
            <v>Bright Horizons at RAF Northolt - 2201 - Day nursery</v>
          </cell>
          <cell r="B16" t="str">
            <v>PVI</v>
          </cell>
          <cell r="D16">
            <v>6732</v>
          </cell>
          <cell r="E16">
            <v>4509</v>
          </cell>
          <cell r="F16">
            <v>4788</v>
          </cell>
          <cell r="G16">
            <v>16029</v>
          </cell>
          <cell r="I16">
            <v>4.915526586568746</v>
          </cell>
          <cell r="J16">
            <v>78790.97565611043</v>
          </cell>
          <cell r="L16">
            <v>0.12100000000000002</v>
          </cell>
          <cell r="M16">
            <v>1939.5090000000005</v>
          </cell>
          <cell r="N16">
            <v>3566.9357501765207</v>
          </cell>
          <cell r="O16">
            <v>0.22253014849189098</v>
          </cell>
          <cell r="Q16" t="str">
            <v>N</v>
          </cell>
          <cell r="R16">
            <v>0</v>
          </cell>
          <cell r="S16">
            <v>0</v>
          </cell>
          <cell r="U16">
            <v>5.138056735060637</v>
          </cell>
        </row>
        <row r="17">
          <cell r="A17" t="str">
            <v>Busy Bees Day Nursery at Heathrow - 839 - Day nursery</v>
          </cell>
          <cell r="B17" t="str">
            <v>PVI</v>
          </cell>
          <cell r="D17">
            <v>6812</v>
          </cell>
          <cell r="E17">
            <v>4992</v>
          </cell>
          <cell r="F17">
            <v>6984</v>
          </cell>
          <cell r="G17">
            <v>18788</v>
          </cell>
          <cell r="I17">
            <v>4.915526586568746</v>
          </cell>
          <cell r="J17">
            <v>92352.91350845361</v>
          </cell>
          <cell r="L17">
            <v>0.22528205128205123</v>
          </cell>
          <cell r="M17">
            <v>4232.599179487179</v>
          </cell>
          <cell r="N17">
            <v>7784.139867090394</v>
          </cell>
          <cell r="O17">
            <v>0.41431444896159214</v>
          </cell>
          <cell r="Q17" t="str">
            <v>N</v>
          </cell>
          <cell r="R17">
            <v>0</v>
          </cell>
          <cell r="S17">
            <v>0</v>
          </cell>
          <cell r="U17">
            <v>5.329841035530339</v>
          </cell>
        </row>
        <row r="18">
          <cell r="A18" t="str">
            <v>Busy Bees Day Nursery at Hillingdon - 2204 - Day nursery</v>
          </cell>
          <cell r="B18" t="str">
            <v>PVI</v>
          </cell>
          <cell r="D18">
            <v>14000</v>
          </cell>
          <cell r="E18">
            <v>7870</v>
          </cell>
          <cell r="F18">
            <v>10725</v>
          </cell>
          <cell r="G18">
            <v>32595</v>
          </cell>
          <cell r="I18">
            <v>4.915526586568746</v>
          </cell>
          <cell r="J18">
            <v>160221.58908920828</v>
          </cell>
          <cell r="L18">
            <v>0.2095625</v>
          </cell>
          <cell r="M18">
            <v>6830.6896875</v>
          </cell>
          <cell r="N18">
            <v>12562.267689763663</v>
          </cell>
          <cell r="O18">
            <v>0.3854047458126603</v>
          </cell>
          <cell r="Q18" t="str">
            <v>N</v>
          </cell>
          <cell r="R18">
            <v>0</v>
          </cell>
          <cell r="S18">
            <v>0</v>
          </cell>
          <cell r="U18">
            <v>5.300931332381406</v>
          </cell>
        </row>
        <row r="19">
          <cell r="A19" t="str">
            <v>Butterflies Preschool - 3655 - Pre-School Playgroup</v>
          </cell>
          <cell r="B19" t="str">
            <v>PVI</v>
          </cell>
          <cell r="D19">
            <v>975</v>
          </cell>
          <cell r="E19">
            <v>195</v>
          </cell>
          <cell r="F19">
            <v>360</v>
          </cell>
          <cell r="G19">
            <v>1530</v>
          </cell>
          <cell r="I19">
            <v>4.915526586568746</v>
          </cell>
          <cell r="J19">
            <v>7520.755677450182</v>
          </cell>
          <cell r="L19">
            <v>0.21350000000000002</v>
          </cell>
          <cell r="M19">
            <v>326.65500000000003</v>
          </cell>
          <cell r="N19">
            <v>600.7486417819722</v>
          </cell>
          <cell r="O19">
            <v>0.39264617109932826</v>
          </cell>
          <cell r="Q19" t="str">
            <v>N</v>
          </cell>
          <cell r="R19">
            <v>0</v>
          </cell>
          <cell r="S19">
            <v>0</v>
          </cell>
          <cell r="U19">
            <v>5.308172757668075</v>
          </cell>
        </row>
        <row r="20">
          <cell r="A20" t="str">
            <v>Butterflies Preschool - Cowley - 3493 - Pre-School Playgroup</v>
          </cell>
          <cell r="B20" t="str">
            <v>PVI</v>
          </cell>
          <cell r="D20">
            <v>2865</v>
          </cell>
          <cell r="E20">
            <v>1335</v>
          </cell>
          <cell r="F20">
            <v>1440</v>
          </cell>
          <cell r="G20">
            <v>5640</v>
          </cell>
          <cell r="I20">
            <v>4.915526586568746</v>
          </cell>
          <cell r="J20">
            <v>27723.56994824773</v>
          </cell>
          <cell r="L20">
            <v>0.2345</v>
          </cell>
          <cell r="M20">
            <v>1322.58</v>
          </cell>
          <cell r="N20">
            <v>2432.3464776231826</v>
          </cell>
          <cell r="O20">
            <v>0.4312671059615572</v>
          </cell>
          <cell r="Q20" t="str">
            <v>N</v>
          </cell>
          <cell r="R20">
            <v>0</v>
          </cell>
          <cell r="S20">
            <v>0</v>
          </cell>
          <cell r="U20">
            <v>5.346793692530303</v>
          </cell>
        </row>
        <row r="21">
          <cell r="A21" t="str">
            <v>Celestina Owusu-Agyare - 338 - Childminder</v>
          </cell>
          <cell r="B21" t="str">
            <v>PVI</v>
          </cell>
          <cell r="D21">
            <v>0</v>
          </cell>
          <cell r="E21">
            <v>0</v>
          </cell>
          <cell r="F21">
            <v>180</v>
          </cell>
          <cell r="G21">
            <v>180</v>
          </cell>
          <cell r="I21">
            <v>4.915526586568746</v>
          </cell>
          <cell r="J21">
            <v>884.7947855823743</v>
          </cell>
          <cell r="L21">
            <v>0.29</v>
          </cell>
          <cell r="M21">
            <v>52.199999999999996</v>
          </cell>
          <cell r="N21">
            <v>96.00060951468352</v>
          </cell>
          <cell r="O21">
            <v>0.5333367195260196</v>
          </cell>
          <cell r="Q21" t="str">
            <v>Y</v>
          </cell>
          <cell r="R21">
            <v>0.30354460766261576</v>
          </cell>
          <cell r="S21">
            <v>54.63802937927084</v>
          </cell>
          <cell r="U21">
            <v>5.752407913757382</v>
          </cell>
        </row>
        <row r="22">
          <cell r="A22" t="str">
            <v>Cheeky Chums Day Nursery - 3252 - Day nursery</v>
          </cell>
          <cell r="B22" t="str">
            <v>PVI</v>
          </cell>
          <cell r="D22">
            <v>7440</v>
          </cell>
          <cell r="E22">
            <v>3540</v>
          </cell>
          <cell r="F22">
            <v>5100</v>
          </cell>
          <cell r="G22">
            <v>16080</v>
          </cell>
          <cell r="I22">
            <v>4.915526586568746</v>
          </cell>
          <cell r="J22">
            <v>79041.66751202544</v>
          </cell>
          <cell r="L22">
            <v>0.2074137931034483</v>
          </cell>
          <cell r="M22">
            <v>3335.2137931034486</v>
          </cell>
          <cell r="N22">
            <v>6133.765459764572</v>
          </cell>
          <cell r="O22">
            <v>0.38145307585600574</v>
          </cell>
          <cell r="Q22" t="str">
            <v>N</v>
          </cell>
          <cell r="R22">
            <v>0</v>
          </cell>
          <cell r="S22">
            <v>0</v>
          </cell>
          <cell r="U22">
            <v>5.296979662424752</v>
          </cell>
        </row>
        <row r="23">
          <cell r="A23" t="str">
            <v>Chickywicks Day Nursery - 784 - Day nursery</v>
          </cell>
          <cell r="B23" t="str">
            <v>PVI</v>
          </cell>
          <cell r="D23">
            <v>3900</v>
          </cell>
          <cell r="E23">
            <v>3250</v>
          </cell>
          <cell r="F23">
            <v>3180</v>
          </cell>
          <cell r="G23">
            <v>10330</v>
          </cell>
          <cell r="I23">
            <v>4.915526586568746</v>
          </cell>
          <cell r="J23">
            <v>50777.38963925515</v>
          </cell>
          <cell r="L23">
            <v>0.15065</v>
          </cell>
          <cell r="M23">
            <v>1556.2145</v>
          </cell>
          <cell r="N23">
            <v>2862.021849340775</v>
          </cell>
          <cell r="O23">
            <v>0.27705923033308566</v>
          </cell>
          <cell r="Q23" t="str">
            <v>N</v>
          </cell>
          <cell r="R23">
            <v>0</v>
          </cell>
          <cell r="S23">
            <v>0</v>
          </cell>
          <cell r="U23">
            <v>5.192585816901832</v>
          </cell>
        </row>
        <row r="24">
          <cell r="A24" t="str">
            <v>Childsplay Pre-School Playgroup - 896 - Pre-School Playgroup</v>
          </cell>
          <cell r="B24" t="str">
            <v>PVI</v>
          </cell>
          <cell r="D24">
            <v>3120</v>
          </cell>
          <cell r="E24">
            <v>0</v>
          </cell>
          <cell r="F24">
            <v>1620</v>
          </cell>
          <cell r="G24">
            <v>4740</v>
          </cell>
          <cell r="I24">
            <v>4.915526586568746</v>
          </cell>
          <cell r="J24">
            <v>23299.59602033586</v>
          </cell>
          <cell r="L24">
            <v>0.228</v>
          </cell>
          <cell r="M24">
            <v>1080.72</v>
          </cell>
          <cell r="N24">
            <v>1987.5436535384824</v>
          </cell>
          <cell r="O24">
            <v>0.4193130070756292</v>
          </cell>
          <cell r="Q24" t="str">
            <v>N</v>
          </cell>
          <cell r="R24">
            <v>0</v>
          </cell>
          <cell r="S24">
            <v>0</v>
          </cell>
          <cell r="U24">
            <v>5.334839593644375</v>
          </cell>
        </row>
        <row r="25">
          <cell r="A25" t="str">
            <v>Christine Jancso - 337 - Childminder</v>
          </cell>
          <cell r="B25" t="str">
            <v>PVI</v>
          </cell>
          <cell r="D25">
            <v>0</v>
          </cell>
          <cell r="E25">
            <v>0</v>
          </cell>
          <cell r="F25">
            <v>270</v>
          </cell>
          <cell r="G25">
            <v>270</v>
          </cell>
          <cell r="I25">
            <v>4.915526586568746</v>
          </cell>
          <cell r="J25">
            <v>1327.1921783735615</v>
          </cell>
          <cell r="L25">
            <v>0.141</v>
          </cell>
          <cell r="M25">
            <v>38.06999999999999</v>
          </cell>
          <cell r="N25">
            <v>70.01423762881228</v>
          </cell>
          <cell r="O25">
            <v>0.2593119912178233</v>
          </cell>
          <cell r="Q25" t="str">
            <v>N</v>
          </cell>
          <cell r="R25">
            <v>0</v>
          </cell>
          <cell r="S25">
            <v>0</v>
          </cell>
          <cell r="U25">
            <v>5.17483857778657</v>
          </cell>
        </row>
        <row r="26">
          <cell r="A26" t="str">
            <v>Coat of Many Colours Nursery - 811 - Day nursery</v>
          </cell>
          <cell r="B26" t="str">
            <v>PVI</v>
          </cell>
          <cell r="D26">
            <v>5850</v>
          </cell>
          <cell r="E26">
            <v>4282</v>
          </cell>
          <cell r="F26">
            <v>4320</v>
          </cell>
          <cell r="G26">
            <v>14452</v>
          </cell>
          <cell r="I26">
            <v>4.915526586568746</v>
          </cell>
          <cell r="J26">
            <v>71039.19022909152</v>
          </cell>
          <cell r="L26">
            <v>0.22937037037037034</v>
          </cell>
          <cell r="M26">
            <v>3314.860592592592</v>
          </cell>
          <cell r="N26">
            <v>6096.334048756587</v>
          </cell>
          <cell r="O26">
            <v>0.4218332444475912</v>
          </cell>
          <cell r="Q26" t="str">
            <v>N</v>
          </cell>
          <cell r="R26">
            <v>0</v>
          </cell>
          <cell r="S26">
            <v>0</v>
          </cell>
          <cell r="U26">
            <v>5.337359831016338</v>
          </cell>
        </row>
        <row r="27">
          <cell r="A27" t="str">
            <v>Coat of Many Colours Nursery Hayes Branch - 2400 - Day nursery</v>
          </cell>
          <cell r="B27" t="str">
            <v>PVI</v>
          </cell>
          <cell r="D27">
            <v>7020</v>
          </cell>
          <cell r="E27">
            <v>8775</v>
          </cell>
          <cell r="F27">
            <v>7920</v>
          </cell>
          <cell r="G27">
            <v>23715</v>
          </cell>
          <cell r="I27">
            <v>4.915526586568746</v>
          </cell>
          <cell r="J27">
            <v>116571.71300047782</v>
          </cell>
          <cell r="L27">
            <v>0.24662500000000007</v>
          </cell>
          <cell r="M27">
            <v>5848.711875000002</v>
          </cell>
          <cell r="N27">
            <v>10756.32001677716</v>
          </cell>
          <cell r="O27">
            <v>0.4535660981141539</v>
          </cell>
          <cell r="Q27" t="str">
            <v>N</v>
          </cell>
          <cell r="R27">
            <v>0</v>
          </cell>
          <cell r="S27">
            <v>0</v>
          </cell>
          <cell r="U27">
            <v>5.3690926846829</v>
          </cell>
        </row>
        <row r="28">
          <cell r="A28" t="str">
            <v>Creative Fingers Community Nursery LTD - 3519 - Day nursery</v>
          </cell>
          <cell r="B28" t="str">
            <v>PVI</v>
          </cell>
          <cell r="D28">
            <v>2145</v>
          </cell>
          <cell r="E28">
            <v>2925</v>
          </cell>
          <cell r="F28">
            <v>3240</v>
          </cell>
          <cell r="G28">
            <v>8310</v>
          </cell>
          <cell r="I28">
            <v>4.915526586568746</v>
          </cell>
          <cell r="J28">
            <v>40848.025934386285</v>
          </cell>
          <cell r="L28">
            <v>0.254</v>
          </cell>
          <cell r="M28">
            <v>2110.7400000000002</v>
          </cell>
          <cell r="N28">
            <v>3881.8453357667267</v>
          </cell>
          <cell r="O28">
            <v>0.4671294026193414</v>
          </cell>
          <cell r="Q28" t="str">
            <v>Y</v>
          </cell>
          <cell r="R28">
            <v>0.30354460766261576</v>
          </cell>
          <cell r="S28">
            <v>2522.455689676337</v>
          </cell>
          <cell r="U28">
            <v>5.6862005968507034</v>
          </cell>
        </row>
        <row r="29">
          <cell r="A29" t="str">
            <v>Deborah Ann Linsey - 515 - Childminder</v>
          </cell>
          <cell r="B29" t="str">
            <v>PVI</v>
          </cell>
          <cell r="D29">
            <v>975</v>
          </cell>
          <cell r="E29">
            <v>195</v>
          </cell>
          <cell r="F29">
            <v>180</v>
          </cell>
          <cell r="G29">
            <v>1350</v>
          </cell>
          <cell r="I29">
            <v>4.915526586568746</v>
          </cell>
          <cell r="J29">
            <v>6635.960891867808</v>
          </cell>
          <cell r="L29">
            <v>0.201</v>
          </cell>
          <cell r="M29">
            <v>271.35</v>
          </cell>
          <cell r="N29">
            <v>499.0376511840877</v>
          </cell>
          <cell r="O29">
            <v>0.3696575193956205</v>
          </cell>
          <cell r="Q29" t="str">
            <v>N</v>
          </cell>
          <cell r="R29">
            <v>0</v>
          </cell>
          <cell r="S29">
            <v>0</v>
          </cell>
          <cell r="U29">
            <v>5.285184105964367</v>
          </cell>
        </row>
        <row r="30">
          <cell r="A30" t="str">
            <v>Deborah Jane Harding - 506 - Childminder</v>
          </cell>
          <cell r="B30" t="str">
            <v>PVI</v>
          </cell>
          <cell r="D30">
            <v>195</v>
          </cell>
          <cell r="E30">
            <v>0</v>
          </cell>
          <cell r="F30">
            <v>180</v>
          </cell>
          <cell r="G30">
            <v>375</v>
          </cell>
          <cell r="I30">
            <v>4.915526586568746</v>
          </cell>
          <cell r="J30">
            <v>1843.32246996328</v>
          </cell>
          <cell r="L30">
            <v>0.294</v>
          </cell>
          <cell r="M30">
            <v>110.25</v>
          </cell>
          <cell r="N30">
            <v>202.75990802670228</v>
          </cell>
          <cell r="O30">
            <v>0.5406930880712061</v>
          </cell>
          <cell r="Q30" t="str">
            <v>Y</v>
          </cell>
          <cell r="R30">
            <v>0.30354460766261576</v>
          </cell>
          <cell r="S30">
            <v>113.82922787348092</v>
          </cell>
          <cell r="U30">
            <v>5.7597642823025685</v>
          </cell>
        </row>
        <row r="31">
          <cell r="A31" t="str">
            <v>Debra Ann North - 737 - Childminder</v>
          </cell>
          <cell r="B31" t="str">
            <v>PVI</v>
          </cell>
          <cell r="D31">
            <v>195</v>
          </cell>
          <cell r="E31">
            <v>195</v>
          </cell>
          <cell r="F31">
            <v>180</v>
          </cell>
          <cell r="G31">
            <v>570</v>
          </cell>
          <cell r="I31">
            <v>4.915526586568746</v>
          </cell>
          <cell r="J31">
            <v>2801.8501543441853</v>
          </cell>
          <cell r="L31">
            <v>0</v>
          </cell>
          <cell r="M31">
            <v>0</v>
          </cell>
          <cell r="N31">
            <v>0</v>
          </cell>
          <cell r="O31">
            <v>0</v>
          </cell>
          <cell r="Q31" t="str">
            <v>N</v>
          </cell>
          <cell r="R31">
            <v>0</v>
          </cell>
          <cell r="S31">
            <v>0</v>
          </cell>
          <cell r="U31">
            <v>4.915526586568746</v>
          </cell>
        </row>
        <row r="32">
          <cell r="A32" t="str">
            <v>Discovery Nursery And Preschool - 3793 - Day nursery</v>
          </cell>
          <cell r="B32" t="str">
            <v>PVI</v>
          </cell>
          <cell r="D32">
            <v>1950</v>
          </cell>
          <cell r="E32">
            <v>1560</v>
          </cell>
          <cell r="F32">
            <v>1800</v>
          </cell>
          <cell r="G32">
            <v>5310</v>
          </cell>
          <cell r="I32">
            <v>4.915526586568746</v>
          </cell>
          <cell r="J32">
            <v>26101.446174680044</v>
          </cell>
          <cell r="L32">
            <v>0.097</v>
          </cell>
          <cell r="M32">
            <v>515.07</v>
          </cell>
          <cell r="N32">
            <v>947.2611866422998</v>
          </cell>
          <cell r="O32">
            <v>0.1783919372207721</v>
          </cell>
          <cell r="Q32" t="str">
            <v>N</v>
          </cell>
          <cell r="R32">
            <v>0</v>
          </cell>
          <cell r="S32">
            <v>0</v>
          </cell>
          <cell r="U32">
            <v>5.093918523789519</v>
          </cell>
        </row>
        <row r="33">
          <cell r="A33" t="str">
            <v>Eilmar Montessori Day Nursery - 851 - Day nursery</v>
          </cell>
          <cell r="B33" t="str">
            <v>PVI</v>
          </cell>
          <cell r="D33">
            <v>5850</v>
          </cell>
          <cell r="E33">
            <v>3810</v>
          </cell>
          <cell r="F33">
            <v>4500</v>
          </cell>
          <cell r="G33">
            <v>14160</v>
          </cell>
          <cell r="I33">
            <v>4.915526586568746</v>
          </cell>
          <cell r="J33">
            <v>69603.85646581344</v>
          </cell>
          <cell r="L33">
            <v>0.11564000000000002</v>
          </cell>
          <cell r="M33">
            <v>1637.4624000000003</v>
          </cell>
          <cell r="N33">
            <v>3011.44422332139</v>
          </cell>
          <cell r="O33">
            <v>0.2126726146413411</v>
          </cell>
          <cell r="Q33" t="str">
            <v>N</v>
          </cell>
          <cell r="R33">
            <v>0</v>
          </cell>
          <cell r="S33">
            <v>0</v>
          </cell>
          <cell r="U33">
            <v>5.128199201210087</v>
          </cell>
        </row>
        <row r="34">
          <cell r="A34" t="str">
            <v>Elizabeth Jane Webb - 621 - Childminder</v>
          </cell>
          <cell r="B34" t="str">
            <v>PVI</v>
          </cell>
          <cell r="D34">
            <v>390</v>
          </cell>
          <cell r="E34">
            <v>390</v>
          </cell>
          <cell r="F34">
            <v>360</v>
          </cell>
          <cell r="G34">
            <v>1140</v>
          </cell>
          <cell r="I34">
            <v>4.915526586568746</v>
          </cell>
          <cell r="J34">
            <v>5603.700308688371</v>
          </cell>
          <cell r="L34">
            <v>0.164</v>
          </cell>
          <cell r="M34">
            <v>186.96</v>
          </cell>
          <cell r="N34">
            <v>343.83666580201594</v>
          </cell>
          <cell r="O34">
            <v>0.30161111035264554</v>
          </cell>
          <cell r="Q34" t="str">
            <v>N</v>
          </cell>
          <cell r="R34">
            <v>0</v>
          </cell>
          <cell r="S34">
            <v>0</v>
          </cell>
          <cell r="U34">
            <v>5.217137696921392</v>
          </cell>
        </row>
        <row r="35">
          <cell r="A35" t="str">
            <v>Evelyne Cora Ephram - 3756 - Childminder</v>
          </cell>
          <cell r="B35" t="str">
            <v>PVI</v>
          </cell>
          <cell r="D35">
            <v>0</v>
          </cell>
          <cell r="E35">
            <v>0</v>
          </cell>
          <cell r="F35">
            <v>360</v>
          </cell>
          <cell r="G35">
            <v>360</v>
          </cell>
          <cell r="I35">
            <v>4.915526586568746</v>
          </cell>
          <cell r="J35">
            <v>1769.5895711647486</v>
          </cell>
          <cell r="L35">
            <v>0.2655</v>
          </cell>
          <cell r="M35">
            <v>95.58</v>
          </cell>
          <cell r="N35">
            <v>175.78042638723088</v>
          </cell>
          <cell r="O35">
            <v>0.48827896218675243</v>
          </cell>
          <cell r="Q35" t="str">
            <v>Y</v>
          </cell>
          <cell r="R35">
            <v>0.30354460766261576</v>
          </cell>
          <cell r="S35">
            <v>109.27605875854168</v>
          </cell>
          <cell r="U35">
            <v>5.707350156418115</v>
          </cell>
        </row>
        <row r="36">
          <cell r="A36" t="str">
            <v>Funtimes Playgroup - 794 - Pre-School Playgroup</v>
          </cell>
          <cell r="B36" t="str">
            <v>PVI</v>
          </cell>
          <cell r="D36">
            <v>2619</v>
          </cell>
          <cell r="E36">
            <v>345</v>
          </cell>
          <cell r="F36">
            <v>1620</v>
          </cell>
          <cell r="G36">
            <v>4584</v>
          </cell>
          <cell r="I36">
            <v>4.915526586568746</v>
          </cell>
          <cell r="J36">
            <v>22532.773872831134</v>
          </cell>
          <cell r="L36">
            <v>0.10766666666666665</v>
          </cell>
          <cell r="M36">
            <v>493.5439999999999</v>
          </cell>
          <cell r="N36">
            <v>907.6728893163785</v>
          </cell>
          <cell r="O36">
            <v>0.19800892000793596</v>
          </cell>
          <cell r="Q36" t="str">
            <v>N</v>
          </cell>
          <cell r="R36">
            <v>0</v>
          </cell>
          <cell r="S36">
            <v>0</v>
          </cell>
          <cell r="U36">
            <v>5.1135355065766825</v>
          </cell>
        </row>
        <row r="37">
          <cell r="A37" t="str">
            <v>Gail Jean Randall - 2068 - Childminder</v>
          </cell>
          <cell r="B37" t="str">
            <v>PVI</v>
          </cell>
          <cell r="D37">
            <v>195</v>
          </cell>
          <cell r="E37">
            <v>0</v>
          </cell>
          <cell r="F37">
            <v>180</v>
          </cell>
          <cell r="G37">
            <v>375</v>
          </cell>
          <cell r="I37">
            <v>4.915526586568746</v>
          </cell>
          <cell r="J37">
            <v>1843.32246996328</v>
          </cell>
          <cell r="L37">
            <v>0.08800000000000001</v>
          </cell>
          <cell r="M37">
            <v>33</v>
          </cell>
          <cell r="N37">
            <v>60.69004049778844</v>
          </cell>
          <cell r="O37">
            <v>0.1618401079941025</v>
          </cell>
          <cell r="Q37" t="str">
            <v>N</v>
          </cell>
          <cell r="R37">
            <v>0</v>
          </cell>
          <cell r="S37">
            <v>0</v>
          </cell>
          <cell r="U37">
            <v>5.077366694562849</v>
          </cell>
        </row>
        <row r="38">
          <cell r="A38" t="str">
            <v>Gena Anne Betts - 559 - Childminder</v>
          </cell>
          <cell r="B38" t="str">
            <v>PVI</v>
          </cell>
          <cell r="D38">
            <v>390</v>
          </cell>
          <cell r="E38">
            <v>390</v>
          </cell>
          <cell r="F38">
            <v>540</v>
          </cell>
          <cell r="G38">
            <v>1320</v>
          </cell>
          <cell r="I38">
            <v>4.915526586568746</v>
          </cell>
          <cell r="J38">
            <v>6488.4950942707455</v>
          </cell>
          <cell r="L38">
            <v>0.106</v>
          </cell>
          <cell r="M38">
            <v>139.92</v>
          </cell>
          <cell r="N38">
            <v>257.325771710623</v>
          </cell>
          <cell r="O38">
            <v>0.19494376644744166</v>
          </cell>
          <cell r="Q38" t="str">
            <v>N</v>
          </cell>
          <cell r="R38">
            <v>0</v>
          </cell>
          <cell r="S38">
            <v>0</v>
          </cell>
          <cell r="U38">
            <v>5.110470353016188</v>
          </cell>
        </row>
        <row r="39">
          <cell r="A39" t="str">
            <v>Grainne Majella Bridget O'Hare - 464 - Childminder</v>
          </cell>
          <cell r="B39" t="str">
            <v>PVI</v>
          </cell>
          <cell r="D39">
            <v>195</v>
          </cell>
          <cell r="E39">
            <v>585</v>
          </cell>
          <cell r="F39">
            <v>720</v>
          </cell>
          <cell r="G39">
            <v>1500</v>
          </cell>
          <cell r="I39">
            <v>4.915526586568746</v>
          </cell>
          <cell r="J39">
            <v>7373.28987985312</v>
          </cell>
          <cell r="L39">
            <v>0.23500000000000001</v>
          </cell>
          <cell r="M39">
            <v>352.5</v>
          </cell>
          <cell r="N39">
            <v>648.2799780445583</v>
          </cell>
          <cell r="O39">
            <v>0.4321866520297056</v>
          </cell>
          <cell r="Q39" t="str">
            <v>N</v>
          </cell>
          <cell r="R39">
            <v>0</v>
          </cell>
          <cell r="S39">
            <v>0</v>
          </cell>
          <cell r="U39">
            <v>5.347713238598452</v>
          </cell>
        </row>
        <row r="40">
          <cell r="A40" t="str">
            <v>Hannah Carol O'Donovan - 707 - Childminder</v>
          </cell>
          <cell r="B40" t="str">
            <v>PVI</v>
          </cell>
          <cell r="D40">
            <v>0</v>
          </cell>
          <cell r="E40">
            <v>0</v>
          </cell>
          <cell r="F40">
            <v>180</v>
          </cell>
          <cell r="G40">
            <v>180</v>
          </cell>
          <cell r="I40">
            <v>4.915526586568746</v>
          </cell>
          <cell r="J40">
            <v>884.7947855823743</v>
          </cell>
          <cell r="L40">
            <v>0.07833333333333332</v>
          </cell>
          <cell r="M40">
            <v>14.099999999999998</v>
          </cell>
          <cell r="N40">
            <v>25.931199121782328</v>
          </cell>
          <cell r="O40">
            <v>0.14406221734323515</v>
          </cell>
          <cell r="Q40" t="str">
            <v>N</v>
          </cell>
          <cell r="R40">
            <v>0</v>
          </cell>
          <cell r="S40">
            <v>0</v>
          </cell>
          <cell r="U40">
            <v>5.059588803911981</v>
          </cell>
        </row>
        <row r="41">
          <cell r="A41" t="str">
            <v>Happy Days Pre-School - 897 - Pre-School Playgroup</v>
          </cell>
          <cell r="B41" t="str">
            <v>PVI</v>
          </cell>
          <cell r="D41">
            <v>3120</v>
          </cell>
          <cell r="E41">
            <v>195</v>
          </cell>
          <cell r="F41">
            <v>2079</v>
          </cell>
          <cell r="G41">
            <v>5394</v>
          </cell>
          <cell r="I41">
            <v>4.915526586568746</v>
          </cell>
          <cell r="J41">
            <v>26514.350407951817</v>
          </cell>
          <cell r="L41">
            <v>0.10871428571428574</v>
          </cell>
          <cell r="M41">
            <v>586.4048571428573</v>
          </cell>
          <cell r="N41">
            <v>1078.4525614575712</v>
          </cell>
          <cell r="O41">
            <v>0.1999355879602468</v>
          </cell>
          <cell r="Q41" t="str">
            <v>N</v>
          </cell>
          <cell r="R41">
            <v>0</v>
          </cell>
          <cell r="S41">
            <v>0</v>
          </cell>
          <cell r="U41">
            <v>5.115462174528993</v>
          </cell>
        </row>
        <row r="42">
          <cell r="A42" t="str">
            <v>Happy Tree (West Drayton) Ltd - 2111 - Day nursery</v>
          </cell>
          <cell r="B42" t="str">
            <v>PVI</v>
          </cell>
          <cell r="D42">
            <v>13680</v>
          </cell>
          <cell r="E42">
            <v>7845</v>
          </cell>
          <cell r="F42">
            <v>9885</v>
          </cell>
          <cell r="G42">
            <v>31410</v>
          </cell>
          <cell r="I42">
            <v>4.915526586568746</v>
          </cell>
          <cell r="J42">
            <v>154396.69008412433</v>
          </cell>
          <cell r="L42">
            <v>0.2912982456140351</v>
          </cell>
          <cell r="M42">
            <v>9149.677894736842</v>
          </cell>
          <cell r="N42">
            <v>16827.10066585753</v>
          </cell>
          <cell r="O42">
            <v>0.535724312825773</v>
          </cell>
          <cell r="Q42" t="str">
            <v>Y</v>
          </cell>
          <cell r="R42">
            <v>0.30354460766261576</v>
          </cell>
          <cell r="S42">
            <v>9534.336126682761</v>
          </cell>
          <cell r="U42">
            <v>5.7547955070571355</v>
          </cell>
        </row>
        <row r="43">
          <cell r="A43" t="str">
            <v>Harefield Hospital Day Nursery - 872 - Day nursery</v>
          </cell>
          <cell r="B43" t="str">
            <v>PVI</v>
          </cell>
          <cell r="D43">
            <v>4095</v>
          </cell>
          <cell r="E43">
            <v>2340</v>
          </cell>
          <cell r="F43">
            <v>2820</v>
          </cell>
          <cell r="G43">
            <v>9255</v>
          </cell>
          <cell r="I43">
            <v>4.915526586568746</v>
          </cell>
          <cell r="J43">
            <v>45493.198558693744</v>
          </cell>
          <cell r="L43">
            <v>0.15056250000000002</v>
          </cell>
          <cell r="M43">
            <v>1393.4559375000001</v>
          </cell>
          <cell r="N43">
            <v>2562.6938569320837</v>
          </cell>
          <cell r="O43">
            <v>0.27689830977115976</v>
          </cell>
          <cell r="Q43" t="str">
            <v>N</v>
          </cell>
          <cell r="R43">
            <v>0</v>
          </cell>
          <cell r="S43">
            <v>0</v>
          </cell>
          <cell r="U43">
            <v>5.192424896339906</v>
          </cell>
        </row>
        <row r="44">
          <cell r="A44" t="str">
            <v>Stephanie Ann Hawkins - 3595 - Childminder</v>
          </cell>
          <cell r="B44" t="str">
            <v>PVI</v>
          </cell>
          <cell r="D44">
            <v>0</v>
          </cell>
          <cell r="E44">
            <v>0</v>
          </cell>
          <cell r="F44">
            <v>180</v>
          </cell>
          <cell r="G44">
            <v>180</v>
          </cell>
          <cell r="I44">
            <v>4.915526586568746</v>
          </cell>
          <cell r="J44">
            <v>884.7947855823743</v>
          </cell>
          <cell r="L44">
            <v>0.142</v>
          </cell>
          <cell r="M44">
            <v>25.56</v>
          </cell>
          <cell r="N44">
            <v>47.007195003741586</v>
          </cell>
          <cell r="O44">
            <v>0.2611510833541199</v>
          </cell>
          <cell r="Q44" t="str">
            <v>N</v>
          </cell>
          <cell r="R44">
            <v>0</v>
          </cell>
          <cell r="S44">
            <v>0</v>
          </cell>
          <cell r="U44">
            <v>5.176677669922866</v>
          </cell>
        </row>
        <row r="45">
          <cell r="A45" t="str">
            <v>Honey Bears Montessori - 808 - Day nursery</v>
          </cell>
          <cell r="B45" t="str">
            <v>PVI</v>
          </cell>
          <cell r="D45">
            <v>3705</v>
          </cell>
          <cell r="E45">
            <v>2535</v>
          </cell>
          <cell r="F45">
            <v>3540</v>
          </cell>
          <cell r="G45">
            <v>9780</v>
          </cell>
          <cell r="I45">
            <v>4.915526586568746</v>
          </cell>
          <cell r="J45">
            <v>48073.85001664234</v>
          </cell>
          <cell r="L45">
            <v>0.11460000000000001</v>
          </cell>
          <cell r="M45">
            <v>1120.788</v>
          </cell>
          <cell r="N45">
            <v>2061.2323972556155</v>
          </cell>
          <cell r="O45">
            <v>0.21075995881959259</v>
          </cell>
          <cell r="Q45" t="str">
            <v>N</v>
          </cell>
          <cell r="R45">
            <v>0</v>
          </cell>
          <cell r="S45">
            <v>0</v>
          </cell>
          <cell r="U45">
            <v>5.126286545388339</v>
          </cell>
        </row>
        <row r="46">
          <cell r="A46" t="str">
            <v>Hungry Caterpillar Day Nurseries- Yeading - 825 - Day nursery</v>
          </cell>
          <cell r="B46" t="str">
            <v>PVI</v>
          </cell>
          <cell r="D46">
            <v>7980</v>
          </cell>
          <cell r="E46">
            <v>4515</v>
          </cell>
          <cell r="F46">
            <v>4995</v>
          </cell>
          <cell r="G46">
            <v>17490</v>
          </cell>
          <cell r="I46">
            <v>4.915526586568746</v>
          </cell>
          <cell r="J46">
            <v>85972.55999908737</v>
          </cell>
          <cell r="L46">
            <v>0.3003</v>
          </cell>
          <cell r="M46">
            <v>5252.247</v>
          </cell>
          <cell r="N46">
            <v>9659.36615558751</v>
          </cell>
          <cell r="O46">
            <v>0.5522793685298748</v>
          </cell>
          <cell r="Q46" t="str">
            <v>Y</v>
          </cell>
          <cell r="R46">
            <v>0.30354460766261576</v>
          </cell>
          <cell r="S46">
            <v>5308.995188019149</v>
          </cell>
          <cell r="U46">
            <v>5.771350562761237</v>
          </cell>
        </row>
        <row r="47">
          <cell r="A47" t="str">
            <v>Jelly Tots Pre-School - 3723 - Pre-School Playgroup</v>
          </cell>
          <cell r="B47" t="str">
            <v>PVI</v>
          </cell>
          <cell r="D47">
            <v>3439.5</v>
          </cell>
          <cell r="E47">
            <v>1462.5</v>
          </cell>
          <cell r="F47">
            <v>3105</v>
          </cell>
          <cell r="G47">
            <v>8007</v>
          </cell>
          <cell r="I47">
            <v>4.915526586568746</v>
          </cell>
          <cell r="J47">
            <v>39358.62137865595</v>
          </cell>
          <cell r="L47">
            <v>0.12149999999999998</v>
          </cell>
          <cell r="M47">
            <v>972.8504999999999</v>
          </cell>
          <cell r="N47">
            <v>1789.161704342234</v>
          </cell>
          <cell r="O47">
            <v>0.2234496945600392</v>
          </cell>
          <cell r="Q47" t="str">
            <v>N</v>
          </cell>
          <cell r="R47">
            <v>0</v>
          </cell>
          <cell r="S47">
            <v>0</v>
          </cell>
          <cell r="U47">
            <v>5.138976281128786</v>
          </cell>
        </row>
        <row r="48">
          <cell r="A48" t="str">
            <v>Joanne Hall - 591 - Childminder</v>
          </cell>
          <cell r="B48" t="str">
            <v>PVI</v>
          </cell>
          <cell r="D48">
            <v>585</v>
          </cell>
          <cell r="E48">
            <v>390</v>
          </cell>
          <cell r="F48">
            <v>540</v>
          </cell>
          <cell r="G48">
            <v>1515</v>
          </cell>
          <cell r="I48">
            <v>4.915526586568746</v>
          </cell>
          <cell r="J48">
            <v>7447.022778651651</v>
          </cell>
          <cell r="L48">
            <v>0.08833333333333333</v>
          </cell>
          <cell r="M48">
            <v>133.825</v>
          </cell>
          <cell r="N48">
            <v>246.11650513989505</v>
          </cell>
          <cell r="O48">
            <v>0.16245313870620134</v>
          </cell>
          <cell r="Q48" t="str">
            <v>N</v>
          </cell>
          <cell r="R48">
            <v>0</v>
          </cell>
          <cell r="S48">
            <v>0</v>
          </cell>
          <cell r="U48">
            <v>5.077979725274948</v>
          </cell>
        </row>
        <row r="49">
          <cell r="A49" t="str">
            <v>Jolene Nichola Juliese Oosthuizen - 2549 - Childminder</v>
          </cell>
          <cell r="B49" t="str">
            <v>PVI</v>
          </cell>
          <cell r="D49">
            <v>0</v>
          </cell>
          <cell r="E49">
            <v>0</v>
          </cell>
          <cell r="F49">
            <v>180</v>
          </cell>
          <cell r="G49">
            <v>180</v>
          </cell>
          <cell r="I49">
            <v>4.915526586568746</v>
          </cell>
          <cell r="J49">
            <v>884.7947855823743</v>
          </cell>
          <cell r="L49">
            <v>0.343</v>
          </cell>
          <cell r="M49">
            <v>61.74</v>
          </cell>
          <cell r="N49">
            <v>113.54554849495328</v>
          </cell>
          <cell r="O49">
            <v>0.6308086027497405</v>
          </cell>
          <cell r="Q49" t="str">
            <v>Y</v>
          </cell>
          <cell r="R49">
            <v>0.30354460766261576</v>
          </cell>
          <cell r="S49">
            <v>54.63802937927084</v>
          </cell>
          <cell r="U49">
            <v>5.849879796981103</v>
          </cell>
        </row>
        <row r="50">
          <cell r="A50" t="str">
            <v>Jolly Rainbows Nursery Ltd - 3609 - Pre-School Playgroup</v>
          </cell>
          <cell r="B50" t="str">
            <v>PVI</v>
          </cell>
          <cell r="D50">
            <v>2916</v>
          </cell>
          <cell r="E50">
            <v>780</v>
          </cell>
          <cell r="F50">
            <v>2646</v>
          </cell>
          <cell r="G50">
            <v>6342</v>
          </cell>
          <cell r="I50">
            <v>4.915526586568746</v>
          </cell>
          <cell r="J50">
            <v>31174.26961201899</v>
          </cell>
          <cell r="L50">
            <v>0.2966315789473684</v>
          </cell>
          <cell r="M50">
            <v>1881.2374736842105</v>
          </cell>
          <cell r="N50">
            <v>3459.7690443591496</v>
          </cell>
          <cell r="O50">
            <v>0.545532804219355</v>
          </cell>
          <cell r="Q50" t="str">
            <v>Y</v>
          </cell>
          <cell r="R50">
            <v>0.30354460766261576</v>
          </cell>
          <cell r="S50">
            <v>1925.079901796309</v>
          </cell>
          <cell r="U50">
            <v>5.764603998450717</v>
          </cell>
        </row>
        <row r="51">
          <cell r="A51" t="str">
            <v>Julie Jane Corrigan - 2164 - Childminder</v>
          </cell>
          <cell r="B51" t="str">
            <v>PVI</v>
          </cell>
          <cell r="D51">
            <v>195</v>
          </cell>
          <cell r="E51">
            <v>0</v>
          </cell>
          <cell r="F51">
            <v>180</v>
          </cell>
          <cell r="G51">
            <v>375</v>
          </cell>
          <cell r="I51">
            <v>4.915526586568746</v>
          </cell>
          <cell r="J51">
            <v>1843.32246996328</v>
          </cell>
          <cell r="L51">
            <v>0</v>
          </cell>
          <cell r="M51">
            <v>0</v>
          </cell>
          <cell r="N51">
            <v>0</v>
          </cell>
          <cell r="O51">
            <v>0</v>
          </cell>
          <cell r="Q51" t="str">
            <v>N</v>
          </cell>
          <cell r="R51">
            <v>0</v>
          </cell>
          <cell r="S51">
            <v>0</v>
          </cell>
          <cell r="U51">
            <v>4.915526586568746</v>
          </cell>
        </row>
        <row r="52">
          <cell r="A52" t="str">
            <v>June Ann Reynolds - 499 - Childminder</v>
          </cell>
          <cell r="B52" t="str">
            <v>PVI</v>
          </cell>
          <cell r="D52">
            <v>0</v>
          </cell>
          <cell r="E52">
            <v>195</v>
          </cell>
          <cell r="F52">
            <v>180</v>
          </cell>
          <cell r="G52">
            <v>375</v>
          </cell>
          <cell r="I52">
            <v>4.915526586568746</v>
          </cell>
          <cell r="J52">
            <v>1843.32246996328</v>
          </cell>
          <cell r="L52">
            <v>0</v>
          </cell>
          <cell r="M52">
            <v>0</v>
          </cell>
          <cell r="N52">
            <v>0</v>
          </cell>
          <cell r="O52">
            <v>0</v>
          </cell>
          <cell r="Q52" t="str">
            <v>N</v>
          </cell>
          <cell r="R52">
            <v>0</v>
          </cell>
          <cell r="S52">
            <v>0</v>
          </cell>
          <cell r="U52">
            <v>4.915526586568746</v>
          </cell>
        </row>
        <row r="53">
          <cell r="A53" t="str">
            <v>Kamal Preet Matharu - 2313 - Childminder</v>
          </cell>
          <cell r="B53" t="str">
            <v>PVI</v>
          </cell>
          <cell r="D53">
            <v>0</v>
          </cell>
          <cell r="E53">
            <v>0</v>
          </cell>
          <cell r="F53">
            <v>324</v>
          </cell>
          <cell r="G53">
            <v>324</v>
          </cell>
          <cell r="I53">
            <v>4.915526586568746</v>
          </cell>
          <cell r="J53">
            <v>1592.6306140482739</v>
          </cell>
          <cell r="L53">
            <v>0.0995</v>
          </cell>
          <cell r="M53">
            <v>32.238</v>
          </cell>
          <cell r="N53">
            <v>59.28865228993041</v>
          </cell>
          <cell r="O53">
            <v>0.1829896675615136</v>
          </cell>
          <cell r="Q53" t="str">
            <v>N</v>
          </cell>
          <cell r="R53">
            <v>0</v>
          </cell>
          <cell r="S53">
            <v>0</v>
          </cell>
          <cell r="U53">
            <v>5.09851625413026</v>
          </cell>
        </row>
        <row r="54">
          <cell r="A54" t="str">
            <v>Morrison, Karen - 323 - Childminder</v>
          </cell>
          <cell r="B54" t="str">
            <v>PVI</v>
          </cell>
          <cell r="D54">
            <v>0</v>
          </cell>
          <cell r="E54">
            <v>0</v>
          </cell>
          <cell r="F54">
            <v>180</v>
          </cell>
          <cell r="G54">
            <v>180</v>
          </cell>
          <cell r="I54">
            <v>4.915526586568746</v>
          </cell>
          <cell r="J54">
            <v>884.7947855823743</v>
          </cell>
          <cell r="L54">
            <v>0.226</v>
          </cell>
          <cell r="M54">
            <v>40.68</v>
          </cell>
          <cell r="N54">
            <v>74.81426810454647</v>
          </cell>
          <cell r="O54">
            <v>0.41563482280303593</v>
          </cell>
          <cell r="Q54" t="str">
            <v>N</v>
          </cell>
          <cell r="R54">
            <v>0</v>
          </cell>
          <cell r="S54">
            <v>0</v>
          </cell>
          <cell r="U54">
            <v>5.3311614093717825</v>
          </cell>
        </row>
        <row r="55">
          <cell r="A55" t="str">
            <v>Katarina Marcincin - 2393 - Childminder</v>
          </cell>
          <cell r="B55" t="str">
            <v>PVI</v>
          </cell>
          <cell r="D55">
            <v>0</v>
          </cell>
          <cell r="E55">
            <v>195</v>
          </cell>
          <cell r="F55">
            <v>360</v>
          </cell>
          <cell r="G55">
            <v>555</v>
          </cell>
          <cell r="I55">
            <v>4.915526586568746</v>
          </cell>
          <cell r="J55">
            <v>2728.117255545654</v>
          </cell>
          <cell r="L55">
            <v>0.194</v>
          </cell>
          <cell r="M55">
            <v>107.67</v>
          </cell>
          <cell r="N55">
            <v>198.015050315057</v>
          </cell>
          <cell r="O55">
            <v>0.35678387444154414</v>
          </cell>
          <cell r="Q55" t="str">
            <v>N</v>
          </cell>
          <cell r="R55">
            <v>0</v>
          </cell>
          <cell r="S55">
            <v>0</v>
          </cell>
          <cell r="U55">
            <v>5.27231046101029</v>
          </cell>
        </row>
        <row r="56">
          <cell r="A56" t="str">
            <v>Katja Layher-Segal - 2225 - Childminder</v>
          </cell>
          <cell r="B56" t="str">
            <v>PVI</v>
          </cell>
          <cell r="D56">
            <v>390</v>
          </cell>
          <cell r="E56">
            <v>195</v>
          </cell>
          <cell r="F56">
            <v>360</v>
          </cell>
          <cell r="G56">
            <v>945</v>
          </cell>
          <cell r="I56">
            <v>4.915526586568746</v>
          </cell>
          <cell r="J56">
            <v>4645.172624307465</v>
          </cell>
          <cell r="L56">
            <v>0.261</v>
          </cell>
          <cell r="M56">
            <v>246.645</v>
          </cell>
          <cell r="N56">
            <v>453.6028799568797</v>
          </cell>
          <cell r="O56">
            <v>0.48000304757341766</v>
          </cell>
          <cell r="Q56" t="str">
            <v>Y</v>
          </cell>
          <cell r="R56">
            <v>0.30354460766261576</v>
          </cell>
          <cell r="S56">
            <v>286.8496542411719</v>
          </cell>
          <cell r="U56">
            <v>5.69907424180478</v>
          </cell>
        </row>
        <row r="57">
          <cell r="A57" t="str">
            <v>Katy Louise Sowrey - 2287 - Childminder</v>
          </cell>
          <cell r="B57" t="str">
            <v>PVI</v>
          </cell>
          <cell r="D57">
            <v>510</v>
          </cell>
          <cell r="E57">
            <v>195</v>
          </cell>
          <cell r="F57">
            <v>720</v>
          </cell>
          <cell r="G57">
            <v>1425</v>
          </cell>
          <cell r="I57">
            <v>4.915526586568746</v>
          </cell>
          <cell r="J57">
            <v>7004.625385860463</v>
          </cell>
          <cell r="L57">
            <v>0</v>
          </cell>
          <cell r="M57">
            <v>0</v>
          </cell>
          <cell r="N57">
            <v>0</v>
          </cell>
          <cell r="O57">
            <v>0</v>
          </cell>
          <cell r="Q57" t="str">
            <v>N</v>
          </cell>
          <cell r="R57">
            <v>0</v>
          </cell>
          <cell r="S57">
            <v>0</v>
          </cell>
          <cell r="U57">
            <v>4.915526586568746</v>
          </cell>
        </row>
        <row r="58">
          <cell r="A58" t="str">
            <v>Kavita Hajare - 3763 - Childminder</v>
          </cell>
          <cell r="B58" t="str">
            <v>PVI</v>
          </cell>
          <cell r="D58">
            <v>0</v>
          </cell>
          <cell r="E58">
            <v>0</v>
          </cell>
          <cell r="F58">
            <v>180</v>
          </cell>
          <cell r="G58">
            <v>180</v>
          </cell>
          <cell r="I58">
            <v>4.915526586568746</v>
          </cell>
          <cell r="J58">
            <v>884.7947855823743</v>
          </cell>
          <cell r="L58">
            <v>0.207</v>
          </cell>
          <cell r="M58">
            <v>37.26</v>
          </cell>
          <cell r="N58">
            <v>68.52457299841203</v>
          </cell>
          <cell r="O58">
            <v>0.3806920722134001</v>
          </cell>
          <cell r="Q58" t="str">
            <v>N</v>
          </cell>
          <cell r="R58">
            <v>0</v>
          </cell>
          <cell r="S58">
            <v>0</v>
          </cell>
          <cell r="U58">
            <v>5.296218658782147</v>
          </cell>
        </row>
        <row r="59">
          <cell r="A59" t="str">
            <v>Kiddiecare Nurseries - Ashdown - 3817 - Day nursery</v>
          </cell>
          <cell r="B59" t="str">
            <v>PVI</v>
          </cell>
          <cell r="D59">
            <v>300</v>
          </cell>
          <cell r="E59">
            <v>390</v>
          </cell>
          <cell r="F59">
            <v>1875</v>
          </cell>
          <cell r="G59">
            <v>2565</v>
          </cell>
          <cell r="I59">
            <v>4.915526586568746</v>
          </cell>
          <cell r="J59">
            <v>12608.325694548834</v>
          </cell>
          <cell r="L59">
            <v>0.2016</v>
          </cell>
          <cell r="M59">
            <v>517.104</v>
          </cell>
          <cell r="N59">
            <v>951.0019000475271</v>
          </cell>
          <cell r="O59">
            <v>0.3707609746773985</v>
          </cell>
          <cell r="Q59" t="str">
            <v>N</v>
          </cell>
          <cell r="R59">
            <v>0</v>
          </cell>
          <cell r="S59">
            <v>0</v>
          </cell>
          <cell r="U59">
            <v>5.286287561246144</v>
          </cell>
        </row>
        <row r="60">
          <cell r="A60" t="str">
            <v>Kiddiecare Nursery - West Drayton - 3603 - Day nursery</v>
          </cell>
          <cell r="B60" t="str">
            <v>PVI</v>
          </cell>
          <cell r="D60">
            <v>6570</v>
          </cell>
          <cell r="E60">
            <v>2170</v>
          </cell>
          <cell r="F60">
            <v>5580</v>
          </cell>
          <cell r="G60">
            <v>14320</v>
          </cell>
          <cell r="I60">
            <v>4.915526586568746</v>
          </cell>
          <cell r="J60">
            <v>70390.34071966444</v>
          </cell>
          <cell r="L60">
            <v>0.2832</v>
          </cell>
          <cell r="M60">
            <v>4055.424</v>
          </cell>
          <cell r="N60">
            <v>7458.298387748581</v>
          </cell>
          <cell r="O60">
            <v>0.5208308929992026</v>
          </cell>
          <cell r="Q60" t="str">
            <v>Y</v>
          </cell>
          <cell r="R60">
            <v>0.30354460766261576</v>
          </cell>
          <cell r="S60">
            <v>4346.758781728658</v>
          </cell>
          <cell r="U60">
            <v>5.739902087230565</v>
          </cell>
        </row>
        <row r="61">
          <cell r="A61" t="str">
            <v>Kiddiecare Nursery - Botwell - 2336 - Day nursery</v>
          </cell>
          <cell r="B61" t="str">
            <v>PVI</v>
          </cell>
          <cell r="D61">
            <v>6700</v>
          </cell>
          <cell r="E61">
            <v>3000</v>
          </cell>
          <cell r="F61">
            <v>4680</v>
          </cell>
          <cell r="G61">
            <v>14380</v>
          </cell>
          <cell r="I61">
            <v>4.915526586568746</v>
          </cell>
          <cell r="J61">
            <v>70685.27231485856</v>
          </cell>
          <cell r="L61">
            <v>0.27042307692307693</v>
          </cell>
          <cell r="M61">
            <v>3888.6838461538464</v>
          </cell>
          <cell r="N61">
            <v>7151.647882005232</v>
          </cell>
          <cell r="O61">
            <v>0.4973329542423666</v>
          </cell>
          <cell r="Q61" t="str">
            <v>Y</v>
          </cell>
          <cell r="R61">
            <v>0.30354460766261576</v>
          </cell>
          <cell r="S61">
            <v>4364.9714581884145</v>
          </cell>
          <cell r="U61">
            <v>5.716404148473729</v>
          </cell>
        </row>
        <row r="62">
          <cell r="A62" t="str">
            <v>Kiddiecare Nursery - Church Road - 2203 - Day nursery</v>
          </cell>
          <cell r="B62" t="str">
            <v>PVI</v>
          </cell>
          <cell r="D62">
            <v>11010</v>
          </cell>
          <cell r="E62">
            <v>4855</v>
          </cell>
          <cell r="F62">
            <v>8610</v>
          </cell>
          <cell r="G62">
            <v>24475</v>
          </cell>
          <cell r="I62">
            <v>4.915526586568746</v>
          </cell>
          <cell r="J62">
            <v>120307.51320627007</v>
          </cell>
          <cell r="L62">
            <v>0.2830980392156864</v>
          </cell>
          <cell r="M62">
            <v>6928.824509803924</v>
          </cell>
          <cell r="N62">
            <v>12742.746669759676</v>
          </cell>
          <cell r="O62">
            <v>0.5206433777225608</v>
          </cell>
          <cell r="Q62" t="str">
            <v>Y</v>
          </cell>
          <cell r="R62">
            <v>0.30354460766261576</v>
          </cell>
          <cell r="S62">
            <v>7429.254272542521</v>
          </cell>
          <cell r="U62">
            <v>5.739714571953923</v>
          </cell>
        </row>
        <row r="63">
          <cell r="A63" t="str">
            <v>Kiddiecare Nursery - Pine Place - 3656 - Day nursery</v>
          </cell>
          <cell r="B63" t="str">
            <v>PVI</v>
          </cell>
          <cell r="D63">
            <v>4650</v>
          </cell>
          <cell r="E63">
            <v>780</v>
          </cell>
          <cell r="F63">
            <v>2070</v>
          </cell>
          <cell r="G63">
            <v>7500</v>
          </cell>
          <cell r="I63">
            <v>4.915526586568746</v>
          </cell>
          <cell r="J63">
            <v>36866.4493992656</v>
          </cell>
          <cell r="L63">
            <v>0.2011666666666667</v>
          </cell>
          <cell r="M63">
            <v>1508.7500000000002</v>
          </cell>
          <cell r="N63">
            <v>2774.7302606375247</v>
          </cell>
          <cell r="O63">
            <v>0.36996403475166995</v>
          </cell>
          <cell r="Q63" t="str">
            <v>N</v>
          </cell>
          <cell r="R63">
            <v>0</v>
          </cell>
          <cell r="S63">
            <v>0</v>
          </cell>
          <cell r="U63">
            <v>5.285490621320417</v>
          </cell>
        </row>
        <row r="64">
          <cell r="A64" t="str">
            <v>Laurette Holmes - 3262 - Childminder</v>
          </cell>
          <cell r="B64" t="str">
            <v>PVI</v>
          </cell>
          <cell r="D64">
            <v>0</v>
          </cell>
          <cell r="E64">
            <v>195</v>
          </cell>
          <cell r="F64">
            <v>360</v>
          </cell>
          <cell r="G64">
            <v>555</v>
          </cell>
          <cell r="I64">
            <v>4.915526586568746</v>
          </cell>
          <cell r="J64">
            <v>2728.117255545654</v>
          </cell>
          <cell r="L64">
            <v>0.2</v>
          </cell>
          <cell r="M64">
            <v>111</v>
          </cell>
          <cell r="N64">
            <v>204.13922712892474</v>
          </cell>
          <cell r="O64">
            <v>0.36781842725932384</v>
          </cell>
          <cell r="Q64" t="str">
            <v>N</v>
          </cell>
          <cell r="R64">
            <v>0</v>
          </cell>
          <cell r="S64">
            <v>0</v>
          </cell>
          <cell r="U64">
            <v>5.28334501382807</v>
          </cell>
        </row>
        <row r="65">
          <cell r="A65" t="str">
            <v>Lesley Elizabeth Hunt - 532 - Childminder</v>
          </cell>
          <cell r="B65" t="str">
            <v>PVI</v>
          </cell>
          <cell r="D65">
            <v>1560</v>
          </cell>
          <cell r="E65">
            <v>1950</v>
          </cell>
          <cell r="F65">
            <v>1980</v>
          </cell>
          <cell r="G65">
            <v>5490</v>
          </cell>
          <cell r="I65">
            <v>4.915526586568746</v>
          </cell>
          <cell r="J65">
            <v>26986.240960262418</v>
          </cell>
          <cell r="L65">
            <v>0.1196</v>
          </cell>
          <cell r="M65">
            <v>656.604</v>
          </cell>
          <cell r="N65">
            <v>1207.5552530609054</v>
          </cell>
          <cell r="O65">
            <v>0.21995541950107567</v>
          </cell>
          <cell r="Q65" t="str">
            <v>N</v>
          </cell>
          <cell r="R65">
            <v>0</v>
          </cell>
          <cell r="S65">
            <v>0</v>
          </cell>
          <cell r="U65">
            <v>5.135482006069822</v>
          </cell>
        </row>
        <row r="66">
          <cell r="A66" t="str">
            <v>Lilliput Pre-School - 2263 - Pre-School Playgroup</v>
          </cell>
          <cell r="B66" t="str">
            <v>PVI</v>
          </cell>
          <cell r="D66">
            <v>4260</v>
          </cell>
          <cell r="E66">
            <v>1875</v>
          </cell>
          <cell r="F66">
            <v>3060</v>
          </cell>
          <cell r="G66">
            <v>9195</v>
          </cell>
          <cell r="I66">
            <v>4.915526586568746</v>
          </cell>
          <cell r="J66">
            <v>45198.26696349962</v>
          </cell>
          <cell r="L66">
            <v>0.21782352941176472</v>
          </cell>
          <cell r="M66">
            <v>2002.8873529411767</v>
          </cell>
          <cell r="N66">
            <v>3683.4943806820697</v>
          </cell>
          <cell r="O66">
            <v>0.4005975400415519</v>
          </cell>
          <cell r="Q66" t="str">
            <v>N</v>
          </cell>
          <cell r="R66">
            <v>0</v>
          </cell>
          <cell r="S66">
            <v>0</v>
          </cell>
          <cell r="U66">
            <v>5.3161241266102985</v>
          </cell>
        </row>
        <row r="67">
          <cell r="A67" t="str">
            <v>Lilliput Pre-School Uxbridge - 3717 - Pre-School Playgroup</v>
          </cell>
          <cell r="B67" t="str">
            <v>PVI</v>
          </cell>
          <cell r="D67">
            <v>1833</v>
          </cell>
          <cell r="E67">
            <v>900</v>
          </cell>
          <cell r="F67">
            <v>2340</v>
          </cell>
          <cell r="G67">
            <v>5073</v>
          </cell>
          <cell r="I67">
            <v>4.915526586568746</v>
          </cell>
          <cell r="J67">
            <v>24936.46637366325</v>
          </cell>
          <cell r="L67">
            <v>0.23707692307692307</v>
          </cell>
          <cell r="M67">
            <v>1202.6912307692307</v>
          </cell>
          <cell r="N67">
            <v>2211.859984900595</v>
          </cell>
          <cell r="O67">
            <v>0.4360063049281678</v>
          </cell>
          <cell r="Q67" t="str">
            <v>N</v>
          </cell>
          <cell r="R67">
            <v>0</v>
          </cell>
          <cell r="S67">
            <v>0</v>
          </cell>
          <cell r="U67">
            <v>5.351532891496914</v>
          </cell>
        </row>
        <row r="68">
          <cell r="A68" t="str">
            <v>Linda Tracey Taylor - 562 - Childminder</v>
          </cell>
          <cell r="B68" t="str">
            <v>PVI</v>
          </cell>
          <cell r="D68">
            <v>195</v>
          </cell>
          <cell r="E68">
            <v>390</v>
          </cell>
          <cell r="F68">
            <v>360</v>
          </cell>
          <cell r="G68">
            <v>945</v>
          </cell>
          <cell r="I68">
            <v>4.915526586568746</v>
          </cell>
          <cell r="J68">
            <v>4645.172624307465</v>
          </cell>
          <cell r="L68">
            <v>0.118</v>
          </cell>
          <cell r="M68">
            <v>111.50999999999999</v>
          </cell>
          <cell r="N68">
            <v>205.077164118436</v>
          </cell>
          <cell r="O68">
            <v>0.21701287208300107</v>
          </cell>
          <cell r="Q68" t="str">
            <v>N</v>
          </cell>
          <cell r="R68">
            <v>0</v>
          </cell>
          <cell r="S68">
            <v>0</v>
          </cell>
          <cell r="U68">
            <v>5.132539458651747</v>
          </cell>
        </row>
        <row r="69">
          <cell r="A69" t="str">
            <v>Little Companions Pre-School - 3269 - Pre-School Playgroup</v>
          </cell>
          <cell r="B69" t="str">
            <v>PVI</v>
          </cell>
          <cell r="D69">
            <v>4030</v>
          </cell>
          <cell r="E69">
            <v>3510</v>
          </cell>
          <cell r="F69">
            <v>3780</v>
          </cell>
          <cell r="G69">
            <v>11320</v>
          </cell>
          <cell r="I69">
            <v>4.915526586568746</v>
          </cell>
          <cell r="J69">
            <v>55643.76095995821</v>
          </cell>
          <cell r="L69">
            <v>0.14695238095238095</v>
          </cell>
          <cell r="M69">
            <v>1663.5009523809524</v>
          </cell>
          <cell r="N69">
            <v>3059.3315202457466</v>
          </cell>
          <cell r="O69">
            <v>0.27025896821958895</v>
          </cell>
          <cell r="Q69" t="str">
            <v>N</v>
          </cell>
          <cell r="R69">
            <v>0</v>
          </cell>
          <cell r="S69">
            <v>0</v>
          </cell>
          <cell r="U69">
            <v>5.185785554788335</v>
          </cell>
        </row>
        <row r="70">
          <cell r="A70" t="str">
            <v>Little Crickets Learning Centre - 2244 - Day nursery</v>
          </cell>
          <cell r="B70" t="str">
            <v>PVI</v>
          </cell>
          <cell r="D70">
            <v>3900</v>
          </cell>
          <cell r="E70">
            <v>2145</v>
          </cell>
          <cell r="F70">
            <v>3060</v>
          </cell>
          <cell r="G70">
            <v>9105</v>
          </cell>
          <cell r="I70">
            <v>4.915526586568746</v>
          </cell>
          <cell r="J70">
            <v>44755.86957070843</v>
          </cell>
          <cell r="L70">
            <v>0.12263157894736842</v>
          </cell>
          <cell r="M70">
            <v>1116.5605263157895</v>
          </cell>
          <cell r="N70">
            <v>2053.457683646583</v>
          </cell>
          <cell r="O70">
            <v>0.22553077250374334</v>
          </cell>
          <cell r="Q70" t="str">
            <v>N</v>
          </cell>
          <cell r="R70">
            <v>0</v>
          </cell>
          <cell r="S70">
            <v>0</v>
          </cell>
          <cell r="U70">
            <v>5.14105735907249</v>
          </cell>
        </row>
        <row r="71">
          <cell r="A71" t="str">
            <v>Little Leaf Nursery - 3541 - Day nursery</v>
          </cell>
          <cell r="B71" t="str">
            <v>PVI</v>
          </cell>
          <cell r="D71">
            <v>4155</v>
          </cell>
          <cell r="E71">
            <v>1500</v>
          </cell>
          <cell r="F71">
            <v>2760</v>
          </cell>
          <cell r="G71">
            <v>8415</v>
          </cell>
          <cell r="I71">
            <v>4.915526586568746</v>
          </cell>
          <cell r="J71">
            <v>41364.156225976</v>
          </cell>
          <cell r="L71">
            <v>0.2625625</v>
          </cell>
          <cell r="M71">
            <v>2209.4634374999996</v>
          </cell>
          <cell r="N71">
            <v>4063.406833341146</v>
          </cell>
          <cell r="O71">
            <v>0.482876629036381</v>
          </cell>
          <cell r="Q71" t="str">
            <v>Y</v>
          </cell>
          <cell r="R71">
            <v>0.30354460766261576</v>
          </cell>
          <cell r="S71">
            <v>2554.3278734809114</v>
          </cell>
          <cell r="U71">
            <v>5.701947823267743</v>
          </cell>
        </row>
        <row r="72">
          <cell r="A72" t="str">
            <v>Little Marvels Day Nursery (Brookside) - 3759 - Day nursery</v>
          </cell>
          <cell r="B72" t="str">
            <v>PVI</v>
          </cell>
          <cell r="D72">
            <v>585</v>
          </cell>
          <cell r="E72">
            <v>975</v>
          </cell>
          <cell r="F72">
            <v>1980</v>
          </cell>
          <cell r="G72">
            <v>3540</v>
          </cell>
          <cell r="I72">
            <v>4.915526586568746</v>
          </cell>
          <cell r="J72">
            <v>17400.96411645336</v>
          </cell>
          <cell r="L72">
            <v>0.33883333333333326</v>
          </cell>
          <cell r="M72">
            <v>1199.4699999999998</v>
          </cell>
          <cell r="N72">
            <v>2205.9358447237055</v>
          </cell>
          <cell r="O72">
            <v>0.6231457188485043</v>
          </cell>
          <cell r="Q72" t="str">
            <v>Y</v>
          </cell>
          <cell r="R72">
            <v>0.30354460766261576</v>
          </cell>
          <cell r="S72">
            <v>1074.5479111256598</v>
          </cell>
          <cell r="U72">
            <v>5.8422169130798665</v>
          </cell>
        </row>
        <row r="73">
          <cell r="A73" t="str">
            <v>Little Marvels Day Nursery (Hewens) - 3758 - Day nursery</v>
          </cell>
          <cell r="B73" t="str">
            <v>PVI</v>
          </cell>
          <cell r="D73">
            <v>1755</v>
          </cell>
          <cell r="E73">
            <v>1170</v>
          </cell>
          <cell r="F73">
            <v>1440</v>
          </cell>
          <cell r="G73">
            <v>4365</v>
          </cell>
          <cell r="I73">
            <v>4.915526586568746</v>
          </cell>
          <cell r="J73">
            <v>21456.273550372578</v>
          </cell>
          <cell r="L73">
            <v>0.25335714285714284</v>
          </cell>
          <cell r="M73">
            <v>1105.9039285714284</v>
          </cell>
          <cell r="N73">
            <v>2033.8592185352522</v>
          </cell>
          <cell r="O73">
            <v>0.46594712910315056</v>
          </cell>
          <cell r="Q73" t="str">
            <v>Y</v>
          </cell>
          <cell r="R73">
            <v>0.30354460766261576</v>
          </cell>
          <cell r="S73">
            <v>1324.9722124473178</v>
          </cell>
          <cell r="U73">
            <v>5.685018323334512</v>
          </cell>
        </row>
        <row r="74">
          <cell r="A74" t="str">
            <v>Little Marvels Nursery - (Rosedale) - 3724 - Day nursery</v>
          </cell>
          <cell r="B74" t="str">
            <v>PVI</v>
          </cell>
          <cell r="D74">
            <v>4680</v>
          </cell>
          <cell r="E74">
            <v>3315</v>
          </cell>
          <cell r="F74">
            <v>2160</v>
          </cell>
          <cell r="G74">
            <v>10155</v>
          </cell>
          <cell r="I74">
            <v>4.915526586568746</v>
          </cell>
          <cell r="J74">
            <v>49917.17248660562</v>
          </cell>
          <cell r="L74">
            <v>0.2686428571428571</v>
          </cell>
          <cell r="M74">
            <v>2728.068214285714</v>
          </cell>
          <cell r="N74">
            <v>5017.1688001736175</v>
          </cell>
          <cell r="O74">
            <v>0.49405896604368466</v>
          </cell>
          <cell r="Q74" t="str">
            <v>Y</v>
          </cell>
          <cell r="R74">
            <v>0.30354460766261576</v>
          </cell>
          <cell r="S74">
            <v>3082.495490813863</v>
          </cell>
          <cell r="U74">
            <v>5.713130160275047</v>
          </cell>
        </row>
        <row r="75">
          <cell r="A75" t="str">
            <v>Little People Daycare - 3652 - Day nursery</v>
          </cell>
          <cell r="B75" t="str">
            <v>PVI</v>
          </cell>
          <cell r="D75">
            <v>1365</v>
          </cell>
          <cell r="E75">
            <v>975</v>
          </cell>
          <cell r="F75">
            <v>1440</v>
          </cell>
          <cell r="G75">
            <v>3780</v>
          </cell>
          <cell r="I75">
            <v>4.915526586568746</v>
          </cell>
          <cell r="J75">
            <v>18580.69049722986</v>
          </cell>
          <cell r="L75">
            <v>0.29562499999999997</v>
          </cell>
          <cell r="M75">
            <v>1117.4624999999999</v>
          </cell>
          <cell r="N75">
            <v>2055.1164963563606</v>
          </cell>
          <cell r="O75">
            <v>0.543681612792688</v>
          </cell>
          <cell r="Q75" t="str">
            <v>Y</v>
          </cell>
          <cell r="R75">
            <v>0.30354460766261576</v>
          </cell>
          <cell r="S75">
            <v>1147.3986169646876</v>
          </cell>
          <cell r="U75">
            <v>5.76275280702405</v>
          </cell>
        </row>
        <row r="76">
          <cell r="A76" t="str">
            <v>Little Stars Pre-School - 3533 - Pre-School Playgroup</v>
          </cell>
          <cell r="B76" t="str">
            <v>PVI</v>
          </cell>
          <cell r="D76">
            <v>4185</v>
          </cell>
          <cell r="E76">
            <v>1170</v>
          </cell>
          <cell r="F76">
            <v>1260</v>
          </cell>
          <cell r="G76">
            <v>6615</v>
          </cell>
          <cell r="I76">
            <v>4.915526586568746</v>
          </cell>
          <cell r="J76">
            <v>32516.208370152257</v>
          </cell>
          <cell r="L76">
            <v>0.30985714285714294</v>
          </cell>
          <cell r="M76">
            <v>2049.7050000000004</v>
          </cell>
          <cell r="N76">
            <v>3769.5963472278627</v>
          </cell>
          <cell r="O76">
            <v>0.5698558348039097</v>
          </cell>
          <cell r="Q76" t="str">
            <v>Y</v>
          </cell>
          <cell r="R76">
            <v>0.30354460766261576</v>
          </cell>
          <cell r="S76">
            <v>2007.9475796882032</v>
          </cell>
          <cell r="U76">
            <v>5.788927029035272</v>
          </cell>
        </row>
        <row r="77">
          <cell r="A77" t="str">
            <v>Littlebrook Nursery - 2342 - Day nursery</v>
          </cell>
          <cell r="B77" t="str">
            <v>PVI</v>
          </cell>
          <cell r="D77">
            <v>17901</v>
          </cell>
          <cell r="E77">
            <v>10790</v>
          </cell>
          <cell r="F77">
            <v>13560</v>
          </cell>
          <cell r="G77">
            <v>42251</v>
          </cell>
          <cell r="I77">
            <v>4.915526586568746</v>
          </cell>
          <cell r="J77">
            <v>207685.9138091161</v>
          </cell>
          <cell r="L77">
            <v>0.19391666666666665</v>
          </cell>
          <cell r="M77">
            <v>8193.173083333333</v>
          </cell>
          <cell r="N77">
            <v>15068.000188875458</v>
          </cell>
          <cell r="O77">
            <v>0.35663061676351937</v>
          </cell>
          <cell r="Q77" t="str">
            <v>N</v>
          </cell>
          <cell r="R77">
            <v>0</v>
          </cell>
          <cell r="S77">
            <v>0</v>
          </cell>
          <cell r="U77">
            <v>5.272157203332266</v>
          </cell>
        </row>
        <row r="78">
          <cell r="A78" t="str">
            <v>Littlebrook Nursery - Longford - 854 - Day nursery</v>
          </cell>
          <cell r="B78" t="str">
            <v>PVI</v>
          </cell>
          <cell r="D78">
            <v>8762</v>
          </cell>
          <cell r="E78">
            <v>3315</v>
          </cell>
          <cell r="F78">
            <v>6840</v>
          </cell>
          <cell r="G78">
            <v>18917</v>
          </cell>
          <cell r="I78">
            <v>4.915526586568746</v>
          </cell>
          <cell r="J78">
            <v>92987.01643812098</v>
          </cell>
          <cell r="L78">
            <v>0.219051282051282</v>
          </cell>
          <cell r="M78">
            <v>4143.793102564102</v>
          </cell>
          <cell r="N78">
            <v>7620.81730936581</v>
          </cell>
          <cell r="O78">
            <v>0.40285549026620554</v>
          </cell>
          <cell r="Q78" t="str">
            <v>N</v>
          </cell>
          <cell r="R78">
            <v>0</v>
          </cell>
          <cell r="S78">
            <v>0</v>
          </cell>
          <cell r="U78">
            <v>5.3183820768349515</v>
          </cell>
        </row>
        <row r="79">
          <cell r="A79" t="str">
            <v>Lollipops Playgroup - 898 - Pre-School Playgroup</v>
          </cell>
          <cell r="B79" t="str">
            <v>PVI</v>
          </cell>
          <cell r="D79">
            <v>2613</v>
          </cell>
          <cell r="E79">
            <v>585</v>
          </cell>
          <cell r="F79">
            <v>1485</v>
          </cell>
          <cell r="G79">
            <v>4683</v>
          </cell>
          <cell r="I79">
            <v>4.915526586568746</v>
          </cell>
          <cell r="J79">
            <v>23019.411004901438</v>
          </cell>
          <cell r="L79">
            <v>0.24066666666666667</v>
          </cell>
          <cell r="M79">
            <v>1127.042</v>
          </cell>
          <cell r="N79">
            <v>2072.7340794760144</v>
          </cell>
          <cell r="O79">
            <v>0.4426081741353864</v>
          </cell>
          <cell r="Q79" t="str">
            <v>N</v>
          </cell>
          <cell r="R79">
            <v>0</v>
          </cell>
          <cell r="S79">
            <v>0</v>
          </cell>
          <cell r="U79">
            <v>5.358134760704132</v>
          </cell>
        </row>
        <row r="80">
          <cell r="A80" t="str">
            <v>Nestles Avenue Children's Centre - 865 - Day nursery</v>
          </cell>
          <cell r="B80" t="str">
            <v>PVI</v>
          </cell>
          <cell r="D80">
            <v>9750</v>
          </cell>
          <cell r="E80">
            <v>7785</v>
          </cell>
          <cell r="F80">
            <v>6300</v>
          </cell>
          <cell r="G80">
            <v>23835</v>
          </cell>
          <cell r="I80">
            <v>4.915526586568746</v>
          </cell>
          <cell r="J80">
            <v>117161.57619086606</v>
          </cell>
          <cell r="L80">
            <v>0.226</v>
          </cell>
          <cell r="M80">
            <v>5386.71</v>
          </cell>
          <cell r="N80">
            <v>9906.656001510362</v>
          </cell>
          <cell r="O80">
            <v>0.415634822803036</v>
          </cell>
          <cell r="Q80" t="str">
            <v>N</v>
          </cell>
          <cell r="R80">
            <v>0</v>
          </cell>
          <cell r="S80">
            <v>0</v>
          </cell>
          <cell r="U80">
            <v>5.3311614093717825</v>
          </cell>
        </row>
        <row r="81">
          <cell r="A81" t="str">
            <v>Loretta Maria Critchett - 2172 - Childminder</v>
          </cell>
          <cell r="B81" t="str">
            <v>PVI</v>
          </cell>
          <cell r="D81">
            <v>585</v>
          </cell>
          <cell r="E81">
            <v>585</v>
          </cell>
          <cell r="F81">
            <v>990</v>
          </cell>
          <cell r="G81">
            <v>2160</v>
          </cell>
          <cell r="I81">
            <v>4.915526586568746</v>
          </cell>
          <cell r="J81">
            <v>10617.537426988492</v>
          </cell>
          <cell r="L81">
            <v>0.26183333333333336</v>
          </cell>
          <cell r="M81">
            <v>565.5600000000001</v>
          </cell>
          <cell r="N81">
            <v>1040.1169486039162</v>
          </cell>
          <cell r="O81">
            <v>0.48153562435366487</v>
          </cell>
          <cell r="Q81" t="str">
            <v>Y</v>
          </cell>
          <cell r="R81">
            <v>0.30354460766261576</v>
          </cell>
          <cell r="S81">
            <v>655.65635255125</v>
          </cell>
          <cell r="U81">
            <v>5.700606818585027</v>
          </cell>
        </row>
        <row r="82">
          <cell r="A82" t="str">
            <v>Louise Nina Mansford - 3492 - Childminder</v>
          </cell>
          <cell r="B82" t="str">
            <v>PVI</v>
          </cell>
          <cell r="D82">
            <v>195</v>
          </cell>
          <cell r="E82">
            <v>0</v>
          </cell>
          <cell r="F82">
            <v>180</v>
          </cell>
          <cell r="G82">
            <v>375</v>
          </cell>
          <cell r="I82">
            <v>4.915526586568746</v>
          </cell>
          <cell r="J82">
            <v>1843.32246996328</v>
          </cell>
          <cell r="L82">
            <v>0.3045</v>
          </cell>
          <cell r="M82">
            <v>114.1875</v>
          </cell>
          <cell r="N82">
            <v>210.00133331337022</v>
          </cell>
          <cell r="O82">
            <v>0.5600035555023206</v>
          </cell>
          <cell r="Q82" t="str">
            <v>Y</v>
          </cell>
          <cell r="R82">
            <v>0.30354460766261576</v>
          </cell>
          <cell r="S82">
            <v>113.82922787348092</v>
          </cell>
          <cell r="U82">
            <v>5.779074749733683</v>
          </cell>
        </row>
        <row r="83">
          <cell r="A83" t="str">
            <v>Lysander Preschool - 858 - Pre-School Playgroup</v>
          </cell>
          <cell r="B83" t="str">
            <v>PVI</v>
          </cell>
          <cell r="D83">
            <v>1638</v>
          </cell>
          <cell r="E83">
            <v>897</v>
          </cell>
          <cell r="F83">
            <v>1716</v>
          </cell>
          <cell r="G83">
            <v>4251</v>
          </cell>
          <cell r="I83">
            <v>4.915526586568746</v>
          </cell>
          <cell r="J83">
            <v>20895.90351950374</v>
          </cell>
          <cell r="L83">
            <v>0.07015384615384616</v>
          </cell>
          <cell r="M83">
            <v>298.22400000000005</v>
          </cell>
          <cell r="N83">
            <v>548.4614132549231</v>
          </cell>
          <cell r="O83">
            <v>0.1290193867925013</v>
          </cell>
          <cell r="Q83" t="str">
            <v>N</v>
          </cell>
          <cell r="R83">
            <v>0</v>
          </cell>
          <cell r="S83">
            <v>0</v>
          </cell>
          <cell r="U83">
            <v>5.044545973361248</v>
          </cell>
        </row>
        <row r="84">
          <cell r="A84" t="str">
            <v>Magic Steps Nursery - 3019 - Day nursery</v>
          </cell>
          <cell r="B84" t="str">
            <v>PVI</v>
          </cell>
          <cell r="D84">
            <v>14635</v>
          </cell>
          <cell r="E84">
            <v>8550</v>
          </cell>
          <cell r="F84">
            <v>13065</v>
          </cell>
          <cell r="G84">
            <v>36250</v>
          </cell>
          <cell r="I84">
            <v>4.915526586568746</v>
          </cell>
          <cell r="J84">
            <v>178187.83876311706</v>
          </cell>
          <cell r="L84">
            <v>0.27019230769230784</v>
          </cell>
          <cell r="M84">
            <v>9794.47115384616</v>
          </cell>
          <cell r="N84">
            <v>18012.934878222546</v>
          </cell>
          <cell r="O84">
            <v>0.4969085483647599</v>
          </cell>
          <cell r="Q84" t="str">
            <v>Y</v>
          </cell>
          <cell r="R84">
            <v>0.30354460766261576</v>
          </cell>
          <cell r="S84">
            <v>11003.492027769822</v>
          </cell>
          <cell r="U84">
            <v>5.715979742596122</v>
          </cell>
        </row>
        <row r="85">
          <cell r="A85" t="str">
            <v>Meadows Early Years Practitioners - 2142 - Pre-School Playgroup</v>
          </cell>
          <cell r="B85" t="str">
            <v>PVI</v>
          </cell>
          <cell r="D85">
            <v>4680</v>
          </cell>
          <cell r="E85">
            <v>1716</v>
          </cell>
          <cell r="F85">
            <v>1770</v>
          </cell>
          <cell r="G85">
            <v>8166</v>
          </cell>
          <cell r="I85">
            <v>4.915526586568746</v>
          </cell>
          <cell r="J85">
            <v>40140.19010592038</v>
          </cell>
          <cell r="L85">
            <v>0.19463636363636364</v>
          </cell>
          <cell r="M85">
            <v>1589.4005454545454</v>
          </cell>
          <cell r="N85">
            <v>2923.0540445710117</v>
          </cell>
          <cell r="O85">
            <v>0.3579542058010056</v>
          </cell>
          <cell r="Q85" t="str">
            <v>N</v>
          </cell>
          <cell r="R85">
            <v>0</v>
          </cell>
          <cell r="S85">
            <v>0</v>
          </cell>
          <cell r="U85">
            <v>5.273480792369752</v>
          </cell>
        </row>
        <row r="86">
          <cell r="A86" t="str">
            <v>Michelle Lorraine Dickson - 2215 - Childminder</v>
          </cell>
          <cell r="B86" t="str">
            <v>PVI</v>
          </cell>
          <cell r="D86">
            <v>0</v>
          </cell>
          <cell r="E86">
            <v>0</v>
          </cell>
          <cell r="F86">
            <v>360</v>
          </cell>
          <cell r="G86">
            <v>360</v>
          </cell>
          <cell r="I86">
            <v>4.915526586568746</v>
          </cell>
          <cell r="J86">
            <v>1769.5895711647486</v>
          </cell>
          <cell r="L86">
            <v>0.23433333333333337</v>
          </cell>
          <cell r="M86">
            <v>84.36000000000001</v>
          </cell>
          <cell r="N86">
            <v>155.14581261798284</v>
          </cell>
          <cell r="O86">
            <v>0.4309605906055079</v>
          </cell>
          <cell r="Q86" t="str">
            <v>N</v>
          </cell>
          <cell r="R86">
            <v>0</v>
          </cell>
          <cell r="S86">
            <v>0</v>
          </cell>
          <cell r="U86">
            <v>5.346487177174255</v>
          </cell>
        </row>
        <row r="87">
          <cell r="A87" t="str">
            <v>Ministeps Nursery - 3596 - Day nursery</v>
          </cell>
          <cell r="B87" t="str">
            <v>PVI</v>
          </cell>
          <cell r="D87">
            <v>4875</v>
          </cell>
          <cell r="E87">
            <v>2265</v>
          </cell>
          <cell r="F87">
            <v>3420</v>
          </cell>
          <cell r="G87">
            <v>10560</v>
          </cell>
          <cell r="I87">
            <v>4.915526586568746</v>
          </cell>
          <cell r="J87">
            <v>51907.960754165964</v>
          </cell>
          <cell r="L87">
            <v>0.13336842105263158</v>
          </cell>
          <cell r="M87">
            <v>1408.3705263157894</v>
          </cell>
          <cell r="N87">
            <v>2590.123159939299</v>
          </cell>
          <cell r="O87">
            <v>0.2452768143881912</v>
          </cell>
          <cell r="Q87" t="str">
            <v>N</v>
          </cell>
          <cell r="R87">
            <v>0</v>
          </cell>
          <cell r="S87">
            <v>0</v>
          </cell>
          <cell r="U87">
            <v>5.1608034009569375</v>
          </cell>
        </row>
        <row r="88">
          <cell r="A88" t="str">
            <v>Monika Anna Taratajcio - 714 - Childminder</v>
          </cell>
          <cell r="B88" t="str">
            <v>PVI</v>
          </cell>
          <cell r="D88">
            <v>0</v>
          </cell>
          <cell r="E88">
            <v>0</v>
          </cell>
          <cell r="F88">
            <v>540</v>
          </cell>
          <cell r="G88">
            <v>540</v>
          </cell>
          <cell r="I88">
            <v>4.915526586568746</v>
          </cell>
          <cell r="J88">
            <v>2654.384356747123</v>
          </cell>
          <cell r="L88">
            <v>0.13533333333333333</v>
          </cell>
          <cell r="M88">
            <v>73.08</v>
          </cell>
          <cell r="N88">
            <v>134.40085332055693</v>
          </cell>
          <cell r="O88">
            <v>0.24889046911214247</v>
          </cell>
          <cell r="Q88" t="str">
            <v>N</v>
          </cell>
          <cell r="R88">
            <v>0</v>
          </cell>
          <cell r="S88">
            <v>0</v>
          </cell>
          <cell r="U88">
            <v>5.164417055680889</v>
          </cell>
        </row>
        <row r="89">
          <cell r="A89" t="str">
            <v>Monkey Puzzle Day Nursery Uxbridge - 3778 - Day nursery</v>
          </cell>
          <cell r="B89" t="str">
            <v>PVI</v>
          </cell>
          <cell r="D89">
            <v>2010</v>
          </cell>
          <cell r="E89">
            <v>561</v>
          </cell>
          <cell r="F89">
            <v>980.5</v>
          </cell>
          <cell r="G89">
            <v>3551.5</v>
          </cell>
          <cell r="I89">
            <v>4.915526586568746</v>
          </cell>
          <cell r="J89">
            <v>17457.492672198903</v>
          </cell>
          <cell r="L89">
            <v>0.2357857142857143</v>
          </cell>
          <cell r="M89">
            <v>837.3929642857144</v>
          </cell>
          <cell r="N89">
            <v>1540.0428156079731</v>
          </cell>
          <cell r="O89">
            <v>0.43363165299393863</v>
          </cell>
          <cell r="Q89" t="str">
            <v>N</v>
          </cell>
          <cell r="R89">
            <v>0</v>
          </cell>
          <cell r="S89">
            <v>0</v>
          </cell>
          <cell r="U89">
            <v>5.349158239562685</v>
          </cell>
        </row>
        <row r="90">
          <cell r="A90" t="str">
            <v>Mount Vernon Nursery - 830 - Day nursery</v>
          </cell>
          <cell r="B90" t="str">
            <v>PVI</v>
          </cell>
          <cell r="D90">
            <v>9451</v>
          </cell>
          <cell r="E90">
            <v>2613</v>
          </cell>
          <cell r="F90">
            <v>2664</v>
          </cell>
          <cell r="G90">
            <v>14728</v>
          </cell>
          <cell r="I90">
            <v>4.915526586568746</v>
          </cell>
          <cell r="J90">
            <v>72395.8755669845</v>
          </cell>
          <cell r="L90">
            <v>0.1331702127659575</v>
          </cell>
          <cell r="M90">
            <v>1961.3308936170222</v>
          </cell>
          <cell r="N90">
            <v>3607.0682231266865</v>
          </cell>
          <cell r="O90">
            <v>0.2449122910868201</v>
          </cell>
          <cell r="Q90" t="str">
            <v>N</v>
          </cell>
          <cell r="R90">
            <v>0</v>
          </cell>
          <cell r="S90">
            <v>0</v>
          </cell>
          <cell r="U90">
            <v>5.160438877655566</v>
          </cell>
        </row>
        <row r="91">
          <cell r="A91" t="str">
            <v>Northwood College (Bluebelle House) - 250 - Nursery Units of Independent Schools</v>
          </cell>
          <cell r="B91" t="str">
            <v>PVI</v>
          </cell>
          <cell r="D91">
            <v>11310</v>
          </cell>
          <cell r="E91">
            <v>18330</v>
          </cell>
          <cell r="F91">
            <v>14940</v>
          </cell>
          <cell r="G91">
            <v>44580</v>
          </cell>
          <cell r="I91">
            <v>4.915526586568746</v>
          </cell>
          <cell r="J91">
            <v>219134.1752292347</v>
          </cell>
          <cell r="L91">
            <v>0.11493902439024394</v>
          </cell>
          <cell r="M91">
            <v>5123.981707317074</v>
          </cell>
          <cell r="N91">
            <v>9423.474464454557</v>
          </cell>
          <cell r="O91">
            <v>0.21138345590970295</v>
          </cell>
          <cell r="Q91" t="str">
            <v>N</v>
          </cell>
          <cell r="R91">
            <v>0</v>
          </cell>
          <cell r="S91">
            <v>0</v>
          </cell>
          <cell r="U91">
            <v>5.126910042478449</v>
          </cell>
        </row>
        <row r="92">
          <cell r="A92" t="str">
            <v>Oaklands Pre-School Playgroup - 882 - Pre-School Playgroup</v>
          </cell>
          <cell r="B92" t="str">
            <v>PVI</v>
          </cell>
          <cell r="D92">
            <v>900</v>
          </cell>
          <cell r="E92">
            <v>0</v>
          </cell>
          <cell r="F92">
            <v>675</v>
          </cell>
          <cell r="G92">
            <v>1575</v>
          </cell>
          <cell r="I92">
            <v>4.915526586568746</v>
          </cell>
          <cell r="J92">
            <v>7741.954373845775</v>
          </cell>
          <cell r="L92">
            <v>0.056</v>
          </cell>
          <cell r="M92">
            <v>88.2</v>
          </cell>
          <cell r="N92">
            <v>162.20792642136183</v>
          </cell>
          <cell r="O92">
            <v>0.10298915963261068</v>
          </cell>
          <cell r="Q92" t="str">
            <v>N</v>
          </cell>
          <cell r="R92">
            <v>0</v>
          </cell>
          <cell r="S92">
            <v>0</v>
          </cell>
          <cell r="U92">
            <v>5.018515746201357</v>
          </cell>
        </row>
        <row r="93">
          <cell r="A93" t="str">
            <v>Once Upon A Time - Eastcote - 864 - Day nursery</v>
          </cell>
          <cell r="B93" t="str">
            <v>PVI</v>
          </cell>
          <cell r="D93">
            <v>4095</v>
          </cell>
          <cell r="E93">
            <v>3315</v>
          </cell>
          <cell r="F93">
            <v>3600</v>
          </cell>
          <cell r="G93">
            <v>11010</v>
          </cell>
          <cell r="I93">
            <v>4.915526586568746</v>
          </cell>
          <cell r="J93">
            <v>54119.9477181219</v>
          </cell>
          <cell r="L93">
            <v>0.14808333333333332</v>
          </cell>
          <cell r="M93">
            <v>1630.3974999999998</v>
          </cell>
          <cell r="N93">
            <v>2998.451221287667</v>
          </cell>
          <cell r="O93">
            <v>0.2723388938499243</v>
          </cell>
          <cell r="Q93" t="str">
            <v>N</v>
          </cell>
          <cell r="R93">
            <v>0</v>
          </cell>
          <cell r="S93">
            <v>0</v>
          </cell>
          <cell r="U93">
            <v>5.187865480418671</v>
          </cell>
        </row>
        <row r="94">
          <cell r="A94" t="str">
            <v>Once Upon A Time - Rockingham Road - 863 - Day nursery</v>
          </cell>
          <cell r="B94" t="str">
            <v>PVI</v>
          </cell>
          <cell r="D94">
            <v>4635</v>
          </cell>
          <cell r="E94">
            <v>2445</v>
          </cell>
          <cell r="F94">
            <v>3195</v>
          </cell>
          <cell r="G94">
            <v>10275</v>
          </cell>
          <cell r="I94">
            <v>4.915526586568746</v>
          </cell>
          <cell r="J94">
            <v>50507.035676993866</v>
          </cell>
          <cell r="L94">
            <v>0.23000000000000004</v>
          </cell>
          <cell r="M94">
            <v>2363.2500000000005</v>
          </cell>
          <cell r="N94">
            <v>4346.234491102986</v>
          </cell>
          <cell r="O94">
            <v>0.4229911913482225</v>
          </cell>
          <cell r="Q94" t="str">
            <v>N</v>
          </cell>
          <cell r="R94">
            <v>0</v>
          </cell>
          <cell r="S94">
            <v>0</v>
          </cell>
          <cell r="U94">
            <v>5.338517777916969</v>
          </cell>
        </row>
        <row r="95">
          <cell r="A95" t="str">
            <v>Once Upon A Time Day Nurseries - Yeading Lane - 3266 - Day nursery</v>
          </cell>
          <cell r="B95" t="str">
            <v>PVI</v>
          </cell>
          <cell r="D95">
            <v>7410</v>
          </cell>
          <cell r="E95">
            <v>4920</v>
          </cell>
          <cell r="F95">
            <v>6600</v>
          </cell>
          <cell r="G95">
            <v>18930</v>
          </cell>
          <cell r="I95">
            <v>4.915526586568746</v>
          </cell>
          <cell r="J95">
            <v>93050.91828374637</v>
          </cell>
          <cell r="L95">
            <v>0.30116216216216213</v>
          </cell>
          <cell r="M95">
            <v>5700.999729729729</v>
          </cell>
          <cell r="N95">
            <v>10484.663771975096</v>
          </cell>
          <cell r="O95">
            <v>0.5538649641825196</v>
          </cell>
          <cell r="Q95" t="str">
            <v>Y</v>
          </cell>
          <cell r="R95">
            <v>0.30354460766261576</v>
          </cell>
          <cell r="S95">
            <v>5746.099423053316</v>
          </cell>
          <cell r="U95">
            <v>5.772936158413882</v>
          </cell>
        </row>
        <row r="96">
          <cell r="A96" t="str">
            <v>Once Upon A Time Day Nurseries - York Road - 867 - Day nursery</v>
          </cell>
          <cell r="B96" t="str">
            <v>PVI</v>
          </cell>
          <cell r="D96">
            <v>4350</v>
          </cell>
          <cell r="E96">
            <v>1950</v>
          </cell>
          <cell r="F96">
            <v>2340</v>
          </cell>
          <cell r="G96">
            <v>8640</v>
          </cell>
          <cell r="I96">
            <v>4.915526586568746</v>
          </cell>
          <cell r="J96">
            <v>42470.14970795397</v>
          </cell>
          <cell r="L96">
            <v>0.22239999999999996</v>
          </cell>
          <cell r="M96">
            <v>1921.5359999999996</v>
          </cell>
          <cell r="N96">
            <v>3533.88174721086</v>
          </cell>
          <cell r="O96">
            <v>0.40901409111236803</v>
          </cell>
          <cell r="Q96" t="str">
            <v>N</v>
          </cell>
          <cell r="R96">
            <v>0</v>
          </cell>
          <cell r="S96">
            <v>0</v>
          </cell>
          <cell r="U96">
            <v>5.324540677681115</v>
          </cell>
        </row>
        <row r="97">
          <cell r="A97" t="str">
            <v>Once Upon A Time Playgroup - 814 - Pre-School Playgroup</v>
          </cell>
          <cell r="B97" t="str">
            <v>PVI</v>
          </cell>
          <cell r="D97">
            <v>2145</v>
          </cell>
          <cell r="E97">
            <v>195</v>
          </cell>
          <cell r="F97">
            <v>1080</v>
          </cell>
          <cell r="G97">
            <v>3420</v>
          </cell>
          <cell r="I97">
            <v>4.915526586568746</v>
          </cell>
          <cell r="J97">
            <v>16811.10092606511</v>
          </cell>
          <cell r="L97">
            <v>0.24583333333333335</v>
          </cell>
          <cell r="M97">
            <v>840.75</v>
          </cell>
          <cell r="N97">
            <v>1546.2167135913826</v>
          </cell>
          <cell r="O97">
            <v>0.4521101501729189</v>
          </cell>
          <cell r="Q97" t="str">
            <v>N</v>
          </cell>
          <cell r="R97">
            <v>0</v>
          </cell>
          <cell r="S97">
            <v>0</v>
          </cell>
          <cell r="U97">
            <v>5.367636736741665</v>
          </cell>
        </row>
        <row r="98">
          <cell r="A98" t="str">
            <v>Payal Parekh - 3702 - Childminder</v>
          </cell>
          <cell r="B98" t="str">
            <v>PVI</v>
          </cell>
          <cell r="D98">
            <v>0</v>
          </cell>
          <cell r="E98">
            <v>0</v>
          </cell>
          <cell r="F98">
            <v>180</v>
          </cell>
          <cell r="G98">
            <v>180</v>
          </cell>
          <cell r="I98">
            <v>4.915526586568746</v>
          </cell>
          <cell r="J98">
            <v>884.7947855823743</v>
          </cell>
          <cell r="L98">
            <v>0.251</v>
          </cell>
          <cell r="M98">
            <v>45.18</v>
          </cell>
          <cell r="N98">
            <v>83.09018271788126</v>
          </cell>
          <cell r="O98">
            <v>0.46161212621045145</v>
          </cell>
          <cell r="Q98" t="str">
            <v>Y</v>
          </cell>
          <cell r="R98">
            <v>0.30354460766261576</v>
          </cell>
          <cell r="S98">
            <v>54.63802937927084</v>
          </cell>
          <cell r="U98">
            <v>5.680683320441814</v>
          </cell>
        </row>
        <row r="99">
          <cell r="A99" t="str">
            <v>Peapods Early Learning Centre Ltd (Hillingdon) - 3832 - Day nursery</v>
          </cell>
          <cell r="B99" t="str">
            <v>PVI</v>
          </cell>
          <cell r="D99">
            <v>1755</v>
          </cell>
          <cell r="E99">
            <v>390</v>
          </cell>
          <cell r="F99">
            <v>1620</v>
          </cell>
          <cell r="G99">
            <v>3765</v>
          </cell>
          <cell r="I99">
            <v>4.915526586568746</v>
          </cell>
          <cell r="J99">
            <v>18506.95759843133</v>
          </cell>
          <cell r="L99">
            <v>0.2177777777777778</v>
          </cell>
          <cell r="M99">
            <v>819.9333333333334</v>
          </cell>
          <cell r="N99">
            <v>1507.9329456208081</v>
          </cell>
          <cell r="O99">
            <v>0.4005133985712638</v>
          </cell>
          <cell r="Q99" t="str">
            <v>N</v>
          </cell>
          <cell r="R99">
            <v>0</v>
          </cell>
          <cell r="S99">
            <v>0</v>
          </cell>
          <cell r="U99">
            <v>5.31603998514001</v>
          </cell>
        </row>
        <row r="100">
          <cell r="A100" t="str">
            <v>Petra Salisbury - 3735 - Childminder</v>
          </cell>
          <cell r="B100" t="str">
            <v>PVI</v>
          </cell>
          <cell r="D100">
            <v>195</v>
          </cell>
          <cell r="E100">
            <v>195</v>
          </cell>
          <cell r="F100">
            <v>180</v>
          </cell>
          <cell r="G100">
            <v>570</v>
          </cell>
          <cell r="I100">
            <v>4.915526586568746</v>
          </cell>
          <cell r="J100">
            <v>2801.8501543441853</v>
          </cell>
          <cell r="L100">
            <v>0.226</v>
          </cell>
          <cell r="M100">
            <v>128.82</v>
          </cell>
          <cell r="N100">
            <v>236.9118489977305</v>
          </cell>
          <cell r="O100">
            <v>0.41563482280303593</v>
          </cell>
          <cell r="Q100" t="str">
            <v>N</v>
          </cell>
          <cell r="R100">
            <v>0</v>
          </cell>
          <cell r="S100">
            <v>0</v>
          </cell>
          <cell r="U100">
            <v>5.3311614093717825</v>
          </cell>
        </row>
        <row r="101">
          <cell r="A101" t="str">
            <v>Premier Nursery Uxbridge - 859 - Day nursery</v>
          </cell>
          <cell r="B101" t="str">
            <v>PVI</v>
          </cell>
          <cell r="D101">
            <v>8502</v>
          </cell>
          <cell r="E101">
            <v>4645</v>
          </cell>
          <cell r="F101">
            <v>6480</v>
          </cell>
          <cell r="G101">
            <v>19627</v>
          </cell>
          <cell r="I101">
            <v>4.915526586568746</v>
          </cell>
          <cell r="J101">
            <v>96477.04031458478</v>
          </cell>
          <cell r="L101">
            <v>0.21522857142857144</v>
          </cell>
          <cell r="M101">
            <v>4224.291171428572</v>
          </cell>
          <cell r="N101">
            <v>7768.860674801521</v>
          </cell>
          <cell r="O101">
            <v>0.395825173220641</v>
          </cell>
          <cell r="Q101" t="str">
            <v>N</v>
          </cell>
          <cell r="R101">
            <v>0</v>
          </cell>
          <cell r="S101">
            <v>0</v>
          </cell>
          <cell r="U101">
            <v>5.311351759789387</v>
          </cell>
        </row>
        <row r="102">
          <cell r="A102" t="str">
            <v>Pre-School Academy - 2199 - Day nursery</v>
          </cell>
          <cell r="B102" t="str">
            <v>PVI</v>
          </cell>
          <cell r="D102">
            <v>5460</v>
          </cell>
          <cell r="E102">
            <v>1755</v>
          </cell>
          <cell r="F102">
            <v>2880</v>
          </cell>
          <cell r="G102">
            <v>10095</v>
          </cell>
          <cell r="I102">
            <v>4.915526586568746</v>
          </cell>
          <cell r="J102">
            <v>49622.24089141149</v>
          </cell>
          <cell r="L102">
            <v>0.10218750000000003</v>
          </cell>
          <cell r="M102">
            <v>1031.5828125000003</v>
          </cell>
          <cell r="N102">
            <v>1897.1758384075004</v>
          </cell>
          <cell r="O102">
            <v>0.18793222767781084</v>
          </cell>
          <cell r="Q102" t="str">
            <v>N</v>
          </cell>
          <cell r="R102">
            <v>0</v>
          </cell>
          <cell r="S102">
            <v>0</v>
          </cell>
          <cell r="U102">
            <v>5.103458814246557</v>
          </cell>
        </row>
        <row r="103">
          <cell r="A103" t="str">
            <v>Pre-School Playhouse - 887 - Day nursery</v>
          </cell>
          <cell r="B103" t="str">
            <v>PVI</v>
          </cell>
          <cell r="D103">
            <v>2535</v>
          </cell>
          <cell r="E103">
            <v>2775</v>
          </cell>
          <cell r="F103">
            <v>2190</v>
          </cell>
          <cell r="G103">
            <v>7500</v>
          </cell>
          <cell r="I103">
            <v>4.915526586568746</v>
          </cell>
          <cell r="J103">
            <v>36866.4493992656</v>
          </cell>
          <cell r="L103">
            <v>0.1505</v>
          </cell>
          <cell r="M103">
            <v>1128.75</v>
          </cell>
          <cell r="N103">
            <v>2075.875248844809</v>
          </cell>
          <cell r="O103">
            <v>0.2767833665126412</v>
          </cell>
          <cell r="Q103" t="str">
            <v>N</v>
          </cell>
          <cell r="R103">
            <v>0</v>
          </cell>
          <cell r="S103">
            <v>0</v>
          </cell>
          <cell r="U103">
            <v>5.192309953081388</v>
          </cell>
        </row>
        <row r="104">
          <cell r="A104" t="str">
            <v>Rachel Carmen Hetherington - 574 - Childminder</v>
          </cell>
          <cell r="B104" t="str">
            <v>PVI</v>
          </cell>
          <cell r="D104">
            <v>0</v>
          </cell>
          <cell r="E104">
            <v>0</v>
          </cell>
          <cell r="F104">
            <v>270</v>
          </cell>
          <cell r="G104">
            <v>270</v>
          </cell>
          <cell r="I104">
            <v>4.915526586568746</v>
          </cell>
          <cell r="J104">
            <v>1327.1921783735615</v>
          </cell>
          <cell r="L104">
            <v>0.28099999999999997</v>
          </cell>
          <cell r="M104">
            <v>75.86999999999999</v>
          </cell>
          <cell r="N104">
            <v>139.5319203808245</v>
          </cell>
          <cell r="O104">
            <v>0.5167848902993499</v>
          </cell>
          <cell r="Q104" t="str">
            <v>Y</v>
          </cell>
          <cell r="R104">
            <v>0.30354460766261576</v>
          </cell>
          <cell r="S104">
            <v>81.95704406890626</v>
          </cell>
          <cell r="U104">
            <v>5.735856084530712</v>
          </cell>
        </row>
        <row r="105">
          <cell r="A105" t="str">
            <v>Roda Mohamed - 2324 - Childminder</v>
          </cell>
          <cell r="B105" t="str">
            <v>PVI</v>
          </cell>
          <cell r="D105">
            <v>1725</v>
          </cell>
          <cell r="E105">
            <v>240</v>
          </cell>
          <cell r="F105">
            <v>975</v>
          </cell>
          <cell r="G105">
            <v>2940</v>
          </cell>
          <cell r="I105">
            <v>4.915526586568746</v>
          </cell>
          <cell r="J105">
            <v>14451.648164512115</v>
          </cell>
          <cell r="L105">
            <v>0.2632</v>
          </cell>
          <cell r="M105">
            <v>773.808</v>
          </cell>
          <cell r="N105">
            <v>1423.1042078034143</v>
          </cell>
          <cell r="O105">
            <v>0.48404905027327016</v>
          </cell>
          <cell r="Q105" t="str">
            <v>Y</v>
          </cell>
          <cell r="R105">
            <v>0.30354460766261576</v>
          </cell>
          <cell r="S105">
            <v>892.4211465280904</v>
          </cell>
          <cell r="U105">
            <v>5.703120244504632</v>
          </cell>
        </row>
        <row r="106">
          <cell r="A106" t="str">
            <v>Rosewood Montessori - 823 - Day nursery</v>
          </cell>
          <cell r="B106" t="str">
            <v>PVI</v>
          </cell>
          <cell r="D106">
            <v>5028.5</v>
          </cell>
          <cell r="E106">
            <v>3171</v>
          </cell>
          <cell r="F106">
            <v>3498</v>
          </cell>
          <cell r="G106">
            <v>11697.5</v>
          </cell>
          <cell r="I106">
            <v>4.915526586568746</v>
          </cell>
          <cell r="J106">
            <v>57499.37224638791</v>
          </cell>
          <cell r="L106">
            <v>0.08954545454545455</v>
          </cell>
          <cell r="M106">
            <v>1047.4579545454546</v>
          </cell>
          <cell r="N106">
            <v>1926.3716873058872</v>
          </cell>
          <cell r="O106">
            <v>0.16468234129565182</v>
          </cell>
          <cell r="Q106" t="str">
            <v>N</v>
          </cell>
          <cell r="R106">
            <v>0</v>
          </cell>
          <cell r="S106">
            <v>0</v>
          </cell>
          <cell r="U106">
            <v>5.0802089278643985</v>
          </cell>
        </row>
        <row r="107">
          <cell r="A107" t="str">
            <v>Ruislip Methodist Playgroup - 873 - Pre-School Playgroup</v>
          </cell>
          <cell r="B107" t="str">
            <v>PVI</v>
          </cell>
          <cell r="D107">
            <v>3042</v>
          </cell>
          <cell r="E107">
            <v>906</v>
          </cell>
          <cell r="F107">
            <v>2052</v>
          </cell>
          <cell r="G107">
            <v>6000</v>
          </cell>
          <cell r="I107">
            <v>4.915526586568746</v>
          </cell>
          <cell r="J107">
            <v>29493.15951941248</v>
          </cell>
          <cell r="L107">
            <v>0.114875</v>
          </cell>
          <cell r="M107">
            <v>689.25</v>
          </cell>
          <cell r="N107">
            <v>1267.5942549424449</v>
          </cell>
          <cell r="O107">
            <v>0.21126570915707416</v>
          </cell>
          <cell r="Q107" t="str">
            <v>N</v>
          </cell>
          <cell r="R107">
            <v>0</v>
          </cell>
          <cell r="S107">
            <v>0</v>
          </cell>
          <cell r="U107">
            <v>5.126792295725821</v>
          </cell>
        </row>
        <row r="108">
          <cell r="A108" t="str">
            <v>Ruislip Stars Nurseries Ltd - 3585 - Day nursery</v>
          </cell>
          <cell r="B108" t="str">
            <v>PVI</v>
          </cell>
          <cell r="D108">
            <v>2145</v>
          </cell>
          <cell r="E108">
            <v>1560</v>
          </cell>
          <cell r="F108">
            <v>3780</v>
          </cell>
          <cell r="G108">
            <v>7485</v>
          </cell>
          <cell r="I108">
            <v>4.915526586568746</v>
          </cell>
          <cell r="J108">
            <v>36792.71650046707</v>
          </cell>
          <cell r="L108">
            <v>0.1657727272727273</v>
          </cell>
          <cell r="M108">
            <v>1240.8088636363639</v>
          </cell>
          <cell r="N108">
            <v>2281.961823760781</v>
          </cell>
          <cell r="O108">
            <v>0.3048713191397169</v>
          </cell>
          <cell r="Q108" t="str">
            <v>N</v>
          </cell>
          <cell r="R108">
            <v>0</v>
          </cell>
          <cell r="S108">
            <v>0</v>
          </cell>
          <cell r="U108">
            <v>5.220397905708463</v>
          </cell>
        </row>
        <row r="109">
          <cell r="A109" t="str">
            <v>Ruth Elizabeth Jones - 2137 - Childminder</v>
          </cell>
          <cell r="B109" t="str">
            <v>PVI</v>
          </cell>
          <cell r="D109">
            <v>0</v>
          </cell>
          <cell r="E109">
            <v>78</v>
          </cell>
          <cell r="F109">
            <v>72</v>
          </cell>
          <cell r="G109">
            <v>150</v>
          </cell>
          <cell r="I109">
            <v>4.915526586568746</v>
          </cell>
          <cell r="J109">
            <v>737.328987985312</v>
          </cell>
          <cell r="L109">
            <v>0</v>
          </cell>
          <cell r="M109">
            <v>0</v>
          </cell>
          <cell r="N109">
            <v>0</v>
          </cell>
          <cell r="O109">
            <v>0</v>
          </cell>
          <cell r="Q109" t="str">
            <v>N</v>
          </cell>
          <cell r="R109">
            <v>0</v>
          </cell>
          <cell r="S109">
            <v>0</v>
          </cell>
          <cell r="U109">
            <v>4.915526586568746</v>
          </cell>
        </row>
        <row r="110">
          <cell r="A110" t="str">
            <v>Sarah Elizabeth Francis - 3522 - Childminder</v>
          </cell>
          <cell r="B110" t="str">
            <v>PVI</v>
          </cell>
          <cell r="D110">
            <v>0</v>
          </cell>
          <cell r="E110">
            <v>195</v>
          </cell>
          <cell r="F110">
            <v>180</v>
          </cell>
          <cell r="G110">
            <v>375</v>
          </cell>
          <cell r="I110">
            <v>4.915526586568746</v>
          </cell>
          <cell r="J110">
            <v>1843.32246996328</v>
          </cell>
          <cell r="L110">
            <v>0.23</v>
          </cell>
          <cell r="M110">
            <v>86.25</v>
          </cell>
          <cell r="N110">
            <v>158.6216967555834</v>
          </cell>
          <cell r="O110">
            <v>0.4229911913482224</v>
          </cell>
          <cell r="Q110" t="str">
            <v>N</v>
          </cell>
          <cell r="R110">
            <v>0</v>
          </cell>
          <cell r="S110">
            <v>0</v>
          </cell>
          <cell r="U110">
            <v>5.338517777916969</v>
          </cell>
        </row>
        <row r="111">
          <cell r="A111" t="str">
            <v>Sarah Lyn Bradshaw - 538 - Childminder</v>
          </cell>
          <cell r="B111" t="str">
            <v>PVI</v>
          </cell>
          <cell r="D111">
            <v>195</v>
          </cell>
          <cell r="E111">
            <v>0</v>
          </cell>
          <cell r="F111">
            <v>180</v>
          </cell>
          <cell r="G111">
            <v>375</v>
          </cell>
          <cell r="I111">
            <v>4.915526586568746</v>
          </cell>
          <cell r="J111">
            <v>1843.32246996328</v>
          </cell>
          <cell r="L111">
            <v>0.096</v>
          </cell>
          <cell r="M111">
            <v>36</v>
          </cell>
          <cell r="N111">
            <v>66.2073169066783</v>
          </cell>
          <cell r="O111">
            <v>0.17655284508447547</v>
          </cell>
          <cell r="Q111" t="str">
            <v>N</v>
          </cell>
          <cell r="R111">
            <v>0</v>
          </cell>
          <cell r="S111">
            <v>0</v>
          </cell>
          <cell r="U111">
            <v>5.092079431653222</v>
          </cell>
        </row>
        <row r="112">
          <cell r="A112" t="str">
            <v>Sarah Paterson - 679 - Childminder</v>
          </cell>
          <cell r="B112" t="str">
            <v>PVI</v>
          </cell>
          <cell r="D112">
            <v>0</v>
          </cell>
          <cell r="E112">
            <v>0</v>
          </cell>
          <cell r="F112">
            <v>312</v>
          </cell>
          <cell r="G112">
            <v>312</v>
          </cell>
          <cell r="I112">
            <v>4.915526586568746</v>
          </cell>
          <cell r="J112">
            <v>1533.6442950094488</v>
          </cell>
          <cell r="L112">
            <v>0.11399999999999999</v>
          </cell>
          <cell r="M112">
            <v>35.568</v>
          </cell>
          <cell r="N112">
            <v>65.41282910379815</v>
          </cell>
          <cell r="O112">
            <v>0.20965650353781456</v>
          </cell>
          <cell r="Q112" t="str">
            <v>N</v>
          </cell>
          <cell r="R112">
            <v>0</v>
          </cell>
          <cell r="S112">
            <v>0</v>
          </cell>
          <cell r="U112">
            <v>5.125183090106561</v>
          </cell>
        </row>
        <row r="113">
          <cell r="A113" t="str">
            <v>Seeta Chopra - 472 - Childminder</v>
          </cell>
          <cell r="B113" t="str">
            <v>PVI</v>
          </cell>
          <cell r="D113">
            <v>1170</v>
          </cell>
          <cell r="E113">
            <v>0</v>
          </cell>
          <cell r="F113">
            <v>25</v>
          </cell>
          <cell r="G113">
            <v>1195</v>
          </cell>
          <cell r="I113">
            <v>4.915526586568746</v>
          </cell>
          <cell r="J113">
            <v>5874.054270949652</v>
          </cell>
          <cell r="L113">
            <v>0.21150000000000002</v>
          </cell>
          <cell r="M113">
            <v>252.74250000000004</v>
          </cell>
          <cell r="N113">
            <v>464.81674425794836</v>
          </cell>
          <cell r="O113">
            <v>0.388967986826735</v>
          </cell>
          <cell r="Q113" t="str">
            <v>N</v>
          </cell>
          <cell r="R113">
            <v>0</v>
          </cell>
          <cell r="S113">
            <v>0</v>
          </cell>
          <cell r="U113">
            <v>5.304494573395481</v>
          </cell>
        </row>
        <row r="114">
          <cell r="A114" t="str">
            <v>Shabana Nawaz - 763 - Childminder</v>
          </cell>
          <cell r="B114" t="str">
            <v>PVI</v>
          </cell>
          <cell r="D114">
            <v>0</v>
          </cell>
          <cell r="E114">
            <v>0</v>
          </cell>
          <cell r="F114">
            <v>180</v>
          </cell>
          <cell r="G114">
            <v>180</v>
          </cell>
          <cell r="I114">
            <v>4.915526586568746</v>
          </cell>
          <cell r="J114">
            <v>884.7947855823743</v>
          </cell>
          <cell r="L114">
            <v>0.271</v>
          </cell>
          <cell r="M114">
            <v>48.78</v>
          </cell>
          <cell r="N114">
            <v>89.71091440854909</v>
          </cell>
          <cell r="O114">
            <v>0.4983939689363838</v>
          </cell>
          <cell r="Q114" t="str">
            <v>Y</v>
          </cell>
          <cell r="R114">
            <v>0.30354460766261576</v>
          </cell>
          <cell r="S114">
            <v>54.63802937927084</v>
          </cell>
          <cell r="U114">
            <v>5.717465163167746</v>
          </cell>
        </row>
        <row r="115">
          <cell r="A115" t="str">
            <v>Sharon Louise Smith - 2184 - Childminder</v>
          </cell>
          <cell r="B115" t="str">
            <v>PVI</v>
          </cell>
          <cell r="D115">
            <v>0</v>
          </cell>
          <cell r="E115">
            <v>0</v>
          </cell>
          <cell r="F115">
            <v>180</v>
          </cell>
          <cell r="G115">
            <v>180</v>
          </cell>
          <cell r="I115">
            <v>4.915526586568746</v>
          </cell>
          <cell r="J115">
            <v>884.7947855823743</v>
          </cell>
          <cell r="L115">
            <v>0.365</v>
          </cell>
          <cell r="M115">
            <v>65.7</v>
          </cell>
          <cell r="N115">
            <v>120.82835335468789</v>
          </cell>
          <cell r="O115">
            <v>0.6712686297482661</v>
          </cell>
          <cell r="Q115" t="str">
            <v>Y</v>
          </cell>
          <cell r="R115">
            <v>0.30354460766261576</v>
          </cell>
          <cell r="S115">
            <v>54.63802937927084</v>
          </cell>
          <cell r="U115">
            <v>5.8903398239796285</v>
          </cell>
        </row>
        <row r="116">
          <cell r="A116" t="str">
            <v>Shepherds Hill Nursery - 812 - Day nursery</v>
          </cell>
          <cell r="B116" t="str">
            <v>PVI</v>
          </cell>
          <cell r="D116">
            <v>4790</v>
          </cell>
          <cell r="E116">
            <v>3285</v>
          </cell>
          <cell r="F116">
            <v>3404</v>
          </cell>
          <cell r="G116">
            <v>11479</v>
          </cell>
          <cell r="I116">
            <v>4.915526586568746</v>
          </cell>
          <cell r="J116">
            <v>56425.32968722264</v>
          </cell>
          <cell r="L116">
            <v>0.14470833333333336</v>
          </cell>
          <cell r="M116">
            <v>1661.1069583333335</v>
          </cell>
          <cell r="N116">
            <v>3054.92874461843</v>
          </cell>
          <cell r="O116">
            <v>0.26613195788992333</v>
          </cell>
          <cell r="Q116" t="str">
            <v>N</v>
          </cell>
          <cell r="R116">
            <v>0</v>
          </cell>
          <cell r="S116">
            <v>0</v>
          </cell>
          <cell r="U116">
            <v>5.18165854445867</v>
          </cell>
        </row>
        <row r="117">
          <cell r="A117" t="str">
            <v>Siobhan Mary Chatburn - 581 - Childminder</v>
          </cell>
          <cell r="B117" t="str">
            <v>PVI</v>
          </cell>
          <cell r="D117">
            <v>390</v>
          </cell>
          <cell r="E117">
            <v>195</v>
          </cell>
          <cell r="F117">
            <v>180</v>
          </cell>
          <cell r="G117">
            <v>765</v>
          </cell>
          <cell r="I117">
            <v>4.915526586568746</v>
          </cell>
          <cell r="J117">
            <v>3760.377838725091</v>
          </cell>
          <cell r="L117">
            <v>0.287</v>
          </cell>
          <cell r="M117">
            <v>219.55499999999998</v>
          </cell>
          <cell r="N117">
            <v>403.7818739846042</v>
          </cell>
          <cell r="O117">
            <v>0.5278194431171297</v>
          </cell>
          <cell r="Q117" t="str">
            <v>Y</v>
          </cell>
          <cell r="R117">
            <v>0.30354460766261576</v>
          </cell>
          <cell r="S117">
            <v>232.21162486190107</v>
          </cell>
          <cell r="U117">
            <v>5.746890637348492</v>
          </cell>
        </row>
        <row r="118">
          <cell r="A118" t="str">
            <v>Smarty's Nursery - 3471 - Day nursery</v>
          </cell>
          <cell r="B118" t="str">
            <v>PVI</v>
          </cell>
          <cell r="D118">
            <v>4485</v>
          </cell>
          <cell r="E118">
            <v>1590</v>
          </cell>
          <cell r="F118">
            <v>2340</v>
          </cell>
          <cell r="G118">
            <v>8415</v>
          </cell>
          <cell r="I118">
            <v>4.915526586568746</v>
          </cell>
          <cell r="J118">
            <v>41364.156225976</v>
          </cell>
          <cell r="L118">
            <v>0</v>
          </cell>
          <cell r="M118">
            <v>0</v>
          </cell>
          <cell r="N118">
            <v>0</v>
          </cell>
          <cell r="O118">
            <v>0</v>
          </cell>
          <cell r="Q118" t="str">
            <v>N</v>
          </cell>
          <cell r="R118">
            <v>0</v>
          </cell>
          <cell r="S118">
            <v>0</v>
          </cell>
          <cell r="U118">
            <v>4.915526586568746</v>
          </cell>
        </row>
        <row r="119">
          <cell r="A119" t="str">
            <v>Smarty's Nursery - 644 - Day nursery</v>
          </cell>
          <cell r="B119" t="str">
            <v>PVI</v>
          </cell>
          <cell r="D119">
            <v>5757</v>
          </cell>
          <cell r="E119">
            <v>4095</v>
          </cell>
          <cell r="F119">
            <v>6300</v>
          </cell>
          <cell r="G119">
            <v>16152</v>
          </cell>
          <cell r="I119">
            <v>4.915526586568746</v>
          </cell>
          <cell r="J119">
            <v>79395.58542625839</v>
          </cell>
          <cell r="L119">
            <v>0.178</v>
          </cell>
          <cell r="M119">
            <v>2875.056</v>
          </cell>
          <cell r="N119">
            <v>5287.492881012413</v>
          </cell>
          <cell r="O119">
            <v>0.3273584002607982</v>
          </cell>
          <cell r="Q119" t="str">
            <v>N</v>
          </cell>
          <cell r="R119">
            <v>0</v>
          </cell>
          <cell r="S119">
            <v>0</v>
          </cell>
          <cell r="U119">
            <v>5.242884986829544</v>
          </cell>
        </row>
        <row r="120">
          <cell r="A120" t="str">
            <v>Smarty's Nursery North Hayes - 3736 - Day nursery</v>
          </cell>
          <cell r="B120" t="str">
            <v>PVI</v>
          </cell>
          <cell r="D120">
            <v>4485</v>
          </cell>
          <cell r="E120">
            <v>1365</v>
          </cell>
          <cell r="F120">
            <v>2520</v>
          </cell>
          <cell r="G120">
            <v>8370</v>
          </cell>
          <cell r="I120">
            <v>4.915526586568746</v>
          </cell>
          <cell r="J120">
            <v>41142.95752958041</v>
          </cell>
          <cell r="L120">
            <v>0.299</v>
          </cell>
          <cell r="M120">
            <v>2502.63</v>
          </cell>
          <cell r="N120">
            <v>4602.567153060008</v>
          </cell>
          <cell r="O120">
            <v>0.5498885487526892</v>
          </cell>
          <cell r="Q120" t="str">
            <v>Y</v>
          </cell>
          <cell r="R120">
            <v>0.30354460766261576</v>
          </cell>
          <cell r="S120">
            <v>2540.668366136094</v>
          </cell>
          <cell r="U120">
            <v>5.768959742984052</v>
          </cell>
        </row>
        <row r="121">
          <cell r="A121" t="str">
            <v>South Ruislip Early Years &amp; Children's Centre - 2311 - Day nursery</v>
          </cell>
          <cell r="B121" t="str">
            <v>PVI</v>
          </cell>
          <cell r="D121">
            <v>3510</v>
          </cell>
          <cell r="E121">
            <v>1681</v>
          </cell>
          <cell r="F121">
            <v>2292</v>
          </cell>
          <cell r="G121">
            <v>7483</v>
          </cell>
          <cell r="I121">
            <v>4.915526586568746</v>
          </cell>
          <cell r="J121">
            <v>36782.88544729393</v>
          </cell>
          <cell r="L121">
            <v>0.1495294117647059</v>
          </cell>
          <cell r="M121">
            <v>1118.9285882352942</v>
          </cell>
          <cell r="N121">
            <v>2057.8127677010075</v>
          </cell>
          <cell r="O121">
            <v>0.2749983653215298</v>
          </cell>
          <cell r="Q121" t="str">
            <v>N</v>
          </cell>
          <cell r="R121">
            <v>0</v>
          </cell>
          <cell r="S121">
            <v>0</v>
          </cell>
          <cell r="U121">
            <v>5.190524951890276</v>
          </cell>
        </row>
        <row r="122">
          <cell r="A122" t="str">
            <v>St Helen's College Limited - 273 - Nursery Units of Independent Schools</v>
          </cell>
          <cell r="B122" t="str">
            <v>PVI</v>
          </cell>
          <cell r="D122">
            <v>14760</v>
          </cell>
          <cell r="E122">
            <v>17940</v>
          </cell>
          <cell r="F122">
            <v>11130</v>
          </cell>
          <cell r="G122">
            <v>43830</v>
          </cell>
          <cell r="I122">
            <v>4.915526586568746</v>
          </cell>
          <cell r="J122">
            <v>215447.53028930814</v>
          </cell>
          <cell r="L122">
            <v>0.14159036144578316</v>
          </cell>
          <cell r="M122">
            <v>6205.905542168676</v>
          </cell>
          <cell r="N122">
            <v>11413.23208120202</v>
          </cell>
          <cell r="O122">
            <v>0.26039772031033587</v>
          </cell>
          <cell r="Q122" t="str">
            <v>N</v>
          </cell>
          <cell r="R122">
            <v>0</v>
          </cell>
          <cell r="S122">
            <v>0</v>
          </cell>
          <cell r="U122">
            <v>5.175924306879082</v>
          </cell>
        </row>
        <row r="123">
          <cell r="A123" t="str">
            <v>St Johns School - 277 - Nursery Units of Independent Schools</v>
          </cell>
          <cell r="B123" t="str">
            <v>PVI</v>
          </cell>
          <cell r="D123">
            <v>7020</v>
          </cell>
          <cell r="E123">
            <v>9945</v>
          </cell>
          <cell r="F123">
            <v>6600</v>
          </cell>
          <cell r="G123">
            <v>23565</v>
          </cell>
          <cell r="I123">
            <v>4.915526586568746</v>
          </cell>
          <cell r="J123">
            <v>115834.3840124925</v>
          </cell>
          <cell r="L123">
            <v>0.11852500000000002</v>
          </cell>
          <cell r="M123">
            <v>2793.0416250000003</v>
          </cell>
          <cell r="N123">
            <v>5136.660888886631</v>
          </cell>
          <cell r="O123">
            <v>0.2179783954545568</v>
          </cell>
          <cell r="Q123" t="str">
            <v>N</v>
          </cell>
          <cell r="R123">
            <v>0</v>
          </cell>
          <cell r="S123">
            <v>0</v>
          </cell>
          <cell r="U123">
            <v>5.133504982023303</v>
          </cell>
        </row>
        <row r="124">
          <cell r="A124" t="str">
            <v>St Martins Kindergarten - 249 - Nursery Units of Independent Schools</v>
          </cell>
          <cell r="B124" t="str">
            <v>PVI</v>
          </cell>
          <cell r="D124">
            <v>8910</v>
          </cell>
          <cell r="E124">
            <v>15990</v>
          </cell>
          <cell r="F124">
            <v>11055</v>
          </cell>
          <cell r="G124">
            <v>35955</v>
          </cell>
          <cell r="I124">
            <v>4.915526586568746</v>
          </cell>
          <cell r="J124">
            <v>176737.75842007928</v>
          </cell>
          <cell r="L124">
            <v>0.09422388059701493</v>
          </cell>
          <cell r="M124">
            <v>3387.819626865672</v>
          </cell>
          <cell r="N124">
            <v>6230.512434960005</v>
          </cell>
          <cell r="O124">
            <v>0.17328639785732178</v>
          </cell>
          <cell r="Q124" t="str">
            <v>N</v>
          </cell>
          <cell r="R124">
            <v>0</v>
          </cell>
          <cell r="S124">
            <v>0</v>
          </cell>
          <cell r="U124">
            <v>5.088812984426068</v>
          </cell>
        </row>
        <row r="125">
          <cell r="A125" t="str">
            <v>St Vincent's Nursery Ltd - 816 - Day nursery</v>
          </cell>
          <cell r="B125" t="str">
            <v>PVI</v>
          </cell>
          <cell r="D125">
            <v>5960</v>
          </cell>
          <cell r="E125">
            <v>3315</v>
          </cell>
          <cell r="F125">
            <v>4485</v>
          </cell>
          <cell r="G125">
            <v>13760</v>
          </cell>
          <cell r="I125">
            <v>4.915526586568746</v>
          </cell>
          <cell r="J125">
            <v>67637.64583118595</v>
          </cell>
          <cell r="L125">
            <v>0.13099999999999998</v>
          </cell>
          <cell r="M125">
            <v>1802.5599999999997</v>
          </cell>
          <cell r="N125">
            <v>3315.0739212028334</v>
          </cell>
          <cell r="O125">
            <v>0.2409210698548571</v>
          </cell>
          <cell r="Q125" t="str">
            <v>N</v>
          </cell>
          <cell r="R125">
            <v>0</v>
          </cell>
          <cell r="S125">
            <v>0</v>
          </cell>
          <cell r="U125">
            <v>5.1564476564236035</v>
          </cell>
        </row>
        <row r="126">
          <cell r="A126" t="str">
            <v>Stepping Stones Nursery - 3332 - Day nursery</v>
          </cell>
          <cell r="B126" t="str">
            <v>PVI</v>
          </cell>
          <cell r="D126">
            <v>4095</v>
          </cell>
          <cell r="E126">
            <v>2910</v>
          </cell>
          <cell r="F126">
            <v>1260</v>
          </cell>
          <cell r="G126">
            <v>8265</v>
          </cell>
          <cell r="I126">
            <v>4.915526586568746</v>
          </cell>
          <cell r="J126">
            <v>40626.827237990685</v>
          </cell>
          <cell r="L126">
            <v>0</v>
          </cell>
          <cell r="M126">
            <v>0</v>
          </cell>
          <cell r="N126">
            <v>0</v>
          </cell>
          <cell r="O126">
            <v>0</v>
          </cell>
          <cell r="Q126" t="str">
            <v>N</v>
          </cell>
          <cell r="R126">
            <v>0</v>
          </cell>
          <cell r="S126">
            <v>0</v>
          </cell>
          <cell r="U126">
            <v>4.915526586568746</v>
          </cell>
        </row>
        <row r="127">
          <cell r="A127" t="str">
            <v>Sunflower House Nursery Cowley - 3651 - Day nursery</v>
          </cell>
          <cell r="B127" t="str">
            <v>PVI</v>
          </cell>
          <cell r="D127">
            <v>3315</v>
          </cell>
          <cell r="E127">
            <v>3510</v>
          </cell>
          <cell r="F127">
            <v>4440</v>
          </cell>
          <cell r="G127">
            <v>11265</v>
          </cell>
          <cell r="I127">
            <v>4.915526586568746</v>
          </cell>
          <cell r="J127">
            <v>55373.406997696926</v>
          </cell>
          <cell r="L127">
            <v>0.2657999999999999</v>
          </cell>
          <cell r="M127">
            <v>2994.236999999999</v>
          </cell>
          <cell r="N127">
            <v>5506.677720908378</v>
          </cell>
          <cell r="O127">
            <v>0.4888306898276412</v>
          </cell>
          <cell r="Q127" t="str">
            <v>Y</v>
          </cell>
          <cell r="R127">
            <v>0.30354460766261576</v>
          </cell>
          <cell r="S127">
            <v>3419.4300053193665</v>
          </cell>
          <cell r="U127">
            <v>5.7079018840590035</v>
          </cell>
        </row>
        <row r="128">
          <cell r="A128" t="str">
            <v>Sunflower House Nursery-Hillingdon - 3833 - Day nursery</v>
          </cell>
          <cell r="B128" t="str">
            <v>PVI</v>
          </cell>
          <cell r="D128">
            <v>7020</v>
          </cell>
          <cell r="E128">
            <v>3375</v>
          </cell>
          <cell r="F128">
            <v>5040</v>
          </cell>
          <cell r="G128">
            <v>15435</v>
          </cell>
          <cell r="I128">
            <v>4.915526586568746</v>
          </cell>
          <cell r="J128">
            <v>75871.15286368859</v>
          </cell>
          <cell r="L128">
            <v>0.25825</v>
          </cell>
          <cell r="M128">
            <v>3986.08875</v>
          </cell>
          <cell r="N128">
            <v>7330.7844747054205</v>
          </cell>
          <cell r="O128">
            <v>0.4749455441986019</v>
          </cell>
          <cell r="Q128" t="str">
            <v>Y</v>
          </cell>
          <cell r="R128">
            <v>0.30354460766261576</v>
          </cell>
          <cell r="S128">
            <v>4685.211019272474</v>
          </cell>
          <cell r="U128">
            <v>5.694016738429964</v>
          </cell>
        </row>
        <row r="129">
          <cell r="A129" t="str">
            <v>Susan Jane Newbey - 302 - Childminder</v>
          </cell>
          <cell r="B129" t="str">
            <v>PVI</v>
          </cell>
          <cell r="D129">
            <v>0</v>
          </cell>
          <cell r="E129">
            <v>0</v>
          </cell>
          <cell r="F129">
            <v>180</v>
          </cell>
          <cell r="G129">
            <v>180</v>
          </cell>
          <cell r="I129">
            <v>4.915526586568746</v>
          </cell>
          <cell r="J129">
            <v>884.7947855823743</v>
          </cell>
          <cell r="L129">
            <v>0.131</v>
          </cell>
          <cell r="M129">
            <v>23.580000000000002</v>
          </cell>
          <cell r="N129">
            <v>43.36579257387429</v>
          </cell>
          <cell r="O129">
            <v>0.24092106985485714</v>
          </cell>
          <cell r="Q129" t="str">
            <v>N</v>
          </cell>
          <cell r="R129">
            <v>0</v>
          </cell>
          <cell r="S129">
            <v>0</v>
          </cell>
          <cell r="U129">
            <v>5.1564476564236035</v>
          </cell>
        </row>
        <row r="130">
          <cell r="A130" t="str">
            <v>Suzanne Kay Page - 327 - Childminder</v>
          </cell>
          <cell r="B130" t="str">
            <v>PVI</v>
          </cell>
          <cell r="D130">
            <v>195</v>
          </cell>
          <cell r="E130">
            <v>195</v>
          </cell>
          <cell r="F130">
            <v>180</v>
          </cell>
          <cell r="G130">
            <v>570</v>
          </cell>
          <cell r="I130">
            <v>4.915526586568746</v>
          </cell>
          <cell r="J130">
            <v>2801.8501543441853</v>
          </cell>
          <cell r="L130">
            <v>0.07450000000000001</v>
          </cell>
          <cell r="M130">
            <v>42.465</v>
          </cell>
          <cell r="N130">
            <v>78.09704756783594</v>
          </cell>
          <cell r="O130">
            <v>0.13701236415409815</v>
          </cell>
          <cell r="Q130" t="str">
            <v>N</v>
          </cell>
          <cell r="R130">
            <v>0</v>
          </cell>
          <cell r="S130">
            <v>0</v>
          </cell>
          <cell r="U130">
            <v>5.052538950722845</v>
          </cell>
        </row>
        <row r="131">
          <cell r="A131" t="str">
            <v>Sweetcroft Day Care - 800 - Day nursery</v>
          </cell>
          <cell r="B131" t="str">
            <v>PVI</v>
          </cell>
          <cell r="D131">
            <v>4680</v>
          </cell>
          <cell r="E131">
            <v>2730</v>
          </cell>
          <cell r="F131">
            <v>3780</v>
          </cell>
          <cell r="G131">
            <v>11190</v>
          </cell>
          <cell r="I131">
            <v>4.915526586568746</v>
          </cell>
          <cell r="J131">
            <v>55004.74250370427</v>
          </cell>
          <cell r="L131">
            <v>0.13490476190476192</v>
          </cell>
          <cell r="M131">
            <v>1509.584285714286</v>
          </cell>
          <cell r="N131">
            <v>2776.264588934092</v>
          </cell>
          <cell r="O131">
            <v>0.24810228676801538</v>
          </cell>
          <cell r="Q131" t="str">
            <v>N</v>
          </cell>
          <cell r="R131">
            <v>0</v>
          </cell>
          <cell r="S131">
            <v>0</v>
          </cell>
          <cell r="U131">
            <v>5.163628873336762</v>
          </cell>
        </row>
        <row r="132">
          <cell r="A132" t="str">
            <v>Tanya Freeman - 3871 - Childminder</v>
          </cell>
          <cell r="B132" t="str">
            <v>PVI</v>
          </cell>
          <cell r="D132">
            <v>0</v>
          </cell>
          <cell r="E132">
            <v>0</v>
          </cell>
          <cell r="F132">
            <v>180</v>
          </cell>
          <cell r="G132">
            <v>180</v>
          </cell>
          <cell r="I132">
            <v>4.915526586568746</v>
          </cell>
          <cell r="J132">
            <v>884.7947855823743</v>
          </cell>
          <cell r="L132">
            <v>0.23975000000000002</v>
          </cell>
          <cell r="M132">
            <v>43.155</v>
          </cell>
          <cell r="N132">
            <v>79.36602114188061</v>
          </cell>
          <cell r="O132">
            <v>0.44092233967711447</v>
          </cell>
          <cell r="Q132" t="str">
            <v>N</v>
          </cell>
          <cell r="R132">
            <v>0</v>
          </cell>
          <cell r="S132">
            <v>0</v>
          </cell>
          <cell r="U132">
            <v>5.356448926245861</v>
          </cell>
        </row>
        <row r="133">
          <cell r="A133" t="str">
            <v>Tara Jane Perrett - 388 - Childminder</v>
          </cell>
          <cell r="B133" t="str">
            <v>PVI</v>
          </cell>
          <cell r="D133">
            <v>0</v>
          </cell>
          <cell r="E133">
            <v>191.5</v>
          </cell>
          <cell r="F133">
            <v>146.5</v>
          </cell>
          <cell r="G133">
            <v>338</v>
          </cell>
          <cell r="I133">
            <v>4.915526586568746</v>
          </cell>
          <cell r="J133">
            <v>1661.4479862602363</v>
          </cell>
          <cell r="L133">
            <v>0.337</v>
          </cell>
          <cell r="M133">
            <v>113.906</v>
          </cell>
          <cell r="N133">
            <v>209.48362887700273</v>
          </cell>
          <cell r="O133">
            <v>0.6197740499319607</v>
          </cell>
          <cell r="Q133" t="str">
            <v>Y</v>
          </cell>
          <cell r="R133">
            <v>0.30354460766261576</v>
          </cell>
          <cell r="S133">
            <v>102.59807738996413</v>
          </cell>
          <cell r="U133">
            <v>5.8388452441633225</v>
          </cell>
        </row>
        <row r="134">
          <cell r="A134" t="str">
            <v>Tara Kindergarden Uxbridge - 889 - Day nursery</v>
          </cell>
          <cell r="B134" t="str">
            <v>PVI</v>
          </cell>
          <cell r="D134">
            <v>6480</v>
          </cell>
          <cell r="E134">
            <v>2670</v>
          </cell>
          <cell r="F134">
            <v>3345</v>
          </cell>
          <cell r="G134">
            <v>12495</v>
          </cell>
          <cell r="I134">
            <v>4.915526586568746</v>
          </cell>
          <cell r="J134">
            <v>61419.50469917648</v>
          </cell>
          <cell r="L134">
            <v>0.23811111111111108</v>
          </cell>
          <cell r="M134">
            <v>2975.198333333333</v>
          </cell>
          <cell r="N134">
            <v>5471.66385875614</v>
          </cell>
          <cell r="O134">
            <v>0.43790827200929494</v>
          </cell>
          <cell r="Q134" t="str">
            <v>N</v>
          </cell>
          <cell r="R134">
            <v>0</v>
          </cell>
          <cell r="S134">
            <v>0</v>
          </cell>
          <cell r="U134">
            <v>5.353434858578042</v>
          </cell>
        </row>
        <row r="135">
          <cell r="A135" t="str">
            <v>The Eye Nursery Limited - 306 - Day nursery</v>
          </cell>
          <cell r="B135" t="str">
            <v>PVI</v>
          </cell>
          <cell r="D135">
            <v>5336.5</v>
          </cell>
          <cell r="E135">
            <v>3000</v>
          </cell>
          <cell r="F135">
            <v>2999.5</v>
          </cell>
          <cell r="G135">
            <v>11336</v>
          </cell>
          <cell r="I135">
            <v>4.915526586568746</v>
          </cell>
          <cell r="J135">
            <v>55722.40938534331</v>
          </cell>
          <cell r="L135">
            <v>0.1076842105263158</v>
          </cell>
          <cell r="M135">
            <v>1220.708210526316</v>
          </cell>
          <cell r="N135">
            <v>2244.9948706916657</v>
          </cell>
          <cell r="O135">
            <v>0.19804118478225702</v>
          </cell>
          <cell r="Q135" t="str">
            <v>N</v>
          </cell>
          <cell r="R135">
            <v>0</v>
          </cell>
          <cell r="S135">
            <v>0</v>
          </cell>
          <cell r="U135">
            <v>5.113567771351003</v>
          </cell>
        </row>
        <row r="136">
          <cell r="A136" t="str">
            <v>The Growing Tree Nursery - 799 - Day nursery</v>
          </cell>
          <cell r="B136" t="str">
            <v>PVI</v>
          </cell>
          <cell r="D136">
            <v>13650</v>
          </cell>
          <cell r="E136">
            <v>7995</v>
          </cell>
          <cell r="F136">
            <v>9285</v>
          </cell>
          <cell r="G136">
            <v>30930</v>
          </cell>
          <cell r="I136">
            <v>4.915526586568746</v>
          </cell>
          <cell r="J136">
            <v>152037.2373225713</v>
          </cell>
          <cell r="L136">
            <v>0.09594339622641512</v>
          </cell>
          <cell r="M136">
            <v>2967.52924528302</v>
          </cell>
          <cell r="N136">
            <v>5457.5596992302435</v>
          </cell>
          <cell r="O136">
            <v>0.1764487455295908</v>
          </cell>
          <cell r="Q136" t="str">
            <v>N</v>
          </cell>
          <cell r="R136">
            <v>0</v>
          </cell>
          <cell r="S136">
            <v>0</v>
          </cell>
          <cell r="U136">
            <v>5.091975332098337</v>
          </cell>
        </row>
        <row r="137">
          <cell r="A137" t="str">
            <v>The Hall School (within the Grange) - 261 - Nursery Units of Independent Schools</v>
          </cell>
          <cell r="B137" t="str">
            <v>PVI</v>
          </cell>
          <cell r="D137">
            <v>4620</v>
          </cell>
          <cell r="E137">
            <v>3420</v>
          </cell>
          <cell r="F137">
            <v>4125</v>
          </cell>
          <cell r="G137">
            <v>12165</v>
          </cell>
          <cell r="I137">
            <v>4.915526586568746</v>
          </cell>
          <cell r="J137">
            <v>59797.3809256088</v>
          </cell>
          <cell r="L137">
            <v>0.0732</v>
          </cell>
          <cell r="M137">
            <v>890.4780000000001</v>
          </cell>
          <cell r="N137">
            <v>1637.6710873451411</v>
          </cell>
          <cell r="O137">
            <v>0.13462154437691254</v>
          </cell>
          <cell r="Q137" t="str">
            <v>N</v>
          </cell>
          <cell r="R137">
            <v>0</v>
          </cell>
          <cell r="S137">
            <v>0</v>
          </cell>
          <cell r="U137">
            <v>5.050148130945659</v>
          </cell>
        </row>
        <row r="138">
          <cell r="A138" t="str">
            <v>The Homestead Childcare - 3770 - Day nursery</v>
          </cell>
          <cell r="B138" t="str">
            <v>PVI</v>
          </cell>
          <cell r="D138">
            <v>928</v>
          </cell>
          <cell r="E138">
            <v>384</v>
          </cell>
          <cell r="F138">
            <v>720</v>
          </cell>
          <cell r="G138">
            <v>2032</v>
          </cell>
          <cell r="I138">
            <v>4.915526586568746</v>
          </cell>
          <cell r="J138">
            <v>9988.350023907693</v>
          </cell>
          <cell r="L138">
            <v>0.089</v>
          </cell>
          <cell r="M138">
            <v>180.84799999999998</v>
          </cell>
          <cell r="N138">
            <v>332.596134664971</v>
          </cell>
          <cell r="O138">
            <v>0.1636792001303991</v>
          </cell>
          <cell r="Q138" t="str">
            <v>N</v>
          </cell>
          <cell r="R138">
            <v>0</v>
          </cell>
          <cell r="S138">
            <v>0</v>
          </cell>
          <cell r="U138">
            <v>5.079205786699146</v>
          </cell>
        </row>
        <row r="139">
          <cell r="A139" t="str">
            <v>The Little Learners Montessori Northwood - 3544 - Day nursery</v>
          </cell>
          <cell r="B139" t="str">
            <v>PVI</v>
          </cell>
          <cell r="D139">
            <v>4095</v>
          </cell>
          <cell r="E139">
            <v>1635</v>
          </cell>
          <cell r="F139">
            <v>2160</v>
          </cell>
          <cell r="G139">
            <v>7890</v>
          </cell>
          <cell r="I139">
            <v>4.915526586568746</v>
          </cell>
          <cell r="J139">
            <v>38783.50476802741</v>
          </cell>
          <cell r="L139">
            <v>0.12766666666666665</v>
          </cell>
          <cell r="M139">
            <v>1007.2899999999998</v>
          </cell>
          <cell r="N139">
            <v>1852.4991179702213</v>
          </cell>
          <cell r="O139">
            <v>0.23479076273386834</v>
          </cell>
          <cell r="Q139" t="str">
            <v>N</v>
          </cell>
          <cell r="R139">
            <v>0</v>
          </cell>
          <cell r="S139">
            <v>0</v>
          </cell>
          <cell r="U139">
            <v>5.150317349302615</v>
          </cell>
        </row>
        <row r="140">
          <cell r="A140" t="str">
            <v>The Young Ones Ltd - 883 - Day nursery</v>
          </cell>
          <cell r="B140" t="str">
            <v>PVI</v>
          </cell>
          <cell r="D140">
            <v>4560</v>
          </cell>
          <cell r="E140">
            <v>1864</v>
          </cell>
          <cell r="F140">
            <v>2580</v>
          </cell>
          <cell r="G140">
            <v>9004</v>
          </cell>
          <cell r="I140">
            <v>4.915526586568746</v>
          </cell>
          <cell r="J140">
            <v>44259.40138546499</v>
          </cell>
          <cell r="L140">
            <v>0.1919375</v>
          </cell>
          <cell r="M140">
            <v>1728.2052500000002</v>
          </cell>
          <cell r="N140">
            <v>3178.3286851815333</v>
          </cell>
          <cell r="O140">
            <v>0.3529907469104324</v>
          </cell>
          <cell r="Q140" t="str">
            <v>N</v>
          </cell>
          <cell r="R140">
            <v>0</v>
          </cell>
          <cell r="S140">
            <v>0</v>
          </cell>
          <cell r="U140">
            <v>5.268517333479179</v>
          </cell>
        </row>
        <row r="141">
          <cell r="A141" t="str">
            <v>Tinies Nursery Northwood - 3820 - Day nursery</v>
          </cell>
          <cell r="B141" t="str">
            <v>PVI</v>
          </cell>
          <cell r="D141">
            <v>5070</v>
          </cell>
          <cell r="E141">
            <v>3315</v>
          </cell>
          <cell r="F141">
            <v>4680</v>
          </cell>
          <cell r="G141">
            <v>13065</v>
          </cell>
          <cell r="I141">
            <v>4.915526586568746</v>
          </cell>
          <cell r="J141">
            <v>64221.35485352067</v>
          </cell>
          <cell r="L141">
            <v>0.11522222222222224</v>
          </cell>
          <cell r="M141">
            <v>1505.3783333333336</v>
          </cell>
          <cell r="N141">
            <v>2768.5294549846444</v>
          </cell>
          <cell r="O141">
            <v>0.2119042828155105</v>
          </cell>
          <cell r="Q141" t="str">
            <v>N</v>
          </cell>
          <cell r="R141">
            <v>0</v>
          </cell>
          <cell r="S141">
            <v>0</v>
          </cell>
          <cell r="U141">
            <v>5.1274308693842565</v>
          </cell>
        </row>
        <row r="142">
          <cell r="A142" t="str">
            <v>Tiny Gems Day Care - 3299 - Day nursery</v>
          </cell>
          <cell r="B142" t="str">
            <v>PVI</v>
          </cell>
          <cell r="D142">
            <v>3120</v>
          </cell>
          <cell r="E142">
            <v>2535</v>
          </cell>
          <cell r="F142">
            <v>2160</v>
          </cell>
          <cell r="G142">
            <v>7815</v>
          </cell>
          <cell r="I142">
            <v>4.915526586568746</v>
          </cell>
          <cell r="J142">
            <v>38414.84027403475</v>
          </cell>
          <cell r="L142">
            <v>0.24916666666666668</v>
          </cell>
          <cell r="M142">
            <v>1947.2375</v>
          </cell>
          <cell r="N142">
            <v>3581.149173751888</v>
          </cell>
          <cell r="O142">
            <v>0.4582404572939076</v>
          </cell>
          <cell r="Q142" t="str">
            <v>N</v>
          </cell>
          <cell r="R142">
            <v>0</v>
          </cell>
          <cell r="S142">
            <v>0</v>
          </cell>
          <cell r="U142">
            <v>5.373767043862654</v>
          </cell>
        </row>
        <row r="143">
          <cell r="A143" t="str">
            <v>Tresha Gockelen-MacDougall - 487 - Childminder</v>
          </cell>
          <cell r="B143" t="str">
            <v>PVI</v>
          </cell>
          <cell r="D143">
            <v>0</v>
          </cell>
          <cell r="E143">
            <v>0</v>
          </cell>
          <cell r="F143">
            <v>143</v>
          </cell>
          <cell r="G143">
            <v>143</v>
          </cell>
          <cell r="I143">
            <v>4.915526586568746</v>
          </cell>
          <cell r="J143">
            <v>702.9203018793307</v>
          </cell>
          <cell r="L143">
            <v>0.14</v>
          </cell>
          <cell r="M143">
            <v>20.020000000000003</v>
          </cell>
          <cell r="N143">
            <v>36.81862456865832</v>
          </cell>
          <cell r="O143">
            <v>0.2574728990815267</v>
          </cell>
          <cell r="Q143" t="str">
            <v>N</v>
          </cell>
          <cell r="R143">
            <v>0</v>
          </cell>
          <cell r="S143">
            <v>0</v>
          </cell>
          <cell r="U143">
            <v>5.172999485650273</v>
          </cell>
        </row>
        <row r="144">
          <cell r="A144" t="str">
            <v>Twinkle Stars Montessori Nursery - 2153 - Day nursery</v>
          </cell>
          <cell r="B144" t="str">
            <v>PVI</v>
          </cell>
          <cell r="D144">
            <v>6825</v>
          </cell>
          <cell r="E144">
            <v>5884</v>
          </cell>
          <cell r="F144">
            <v>5580</v>
          </cell>
          <cell r="G144">
            <v>18289</v>
          </cell>
          <cell r="I144">
            <v>4.915526586568746</v>
          </cell>
          <cell r="J144">
            <v>89900.0657417558</v>
          </cell>
          <cell r="L144">
            <v>0.15530555555555547</v>
          </cell>
          <cell r="M144">
            <v>2840.383305555554</v>
          </cell>
          <cell r="N144">
            <v>5223.726601315418</v>
          </cell>
          <cell r="O144">
            <v>0.28562122594539985</v>
          </cell>
          <cell r="Q144" t="str">
            <v>N</v>
          </cell>
          <cell r="R144">
            <v>0</v>
          </cell>
          <cell r="S144">
            <v>0</v>
          </cell>
          <cell r="U144">
            <v>5.201147812514146</v>
          </cell>
        </row>
        <row r="145">
          <cell r="A145" t="str">
            <v>Twinkletotz Day Nursery Ltd - 2262 - Day nursery</v>
          </cell>
          <cell r="B145" t="str">
            <v>PVI</v>
          </cell>
          <cell r="D145">
            <v>7340</v>
          </cell>
          <cell r="E145">
            <v>1755</v>
          </cell>
          <cell r="F145">
            <v>4920</v>
          </cell>
          <cell r="G145">
            <v>14015</v>
          </cell>
          <cell r="I145">
            <v>4.915526586568746</v>
          </cell>
          <cell r="J145">
            <v>68891.10511076098</v>
          </cell>
          <cell r="L145">
            <v>0.2551785714285715</v>
          </cell>
          <cell r="M145">
            <v>3576.3276785714293</v>
          </cell>
          <cell r="N145">
            <v>6577.196110480659</v>
          </cell>
          <cell r="O145">
            <v>0.46929690406569097</v>
          </cell>
          <cell r="Q145" t="str">
            <v>Y</v>
          </cell>
          <cell r="R145">
            <v>0.30354460766261576</v>
          </cell>
          <cell r="S145">
            <v>4254.1776763915595</v>
          </cell>
          <cell r="U145">
            <v>5.688368098297053</v>
          </cell>
        </row>
        <row r="146">
          <cell r="A146" t="str">
            <v>Uxbridge Early Years Centre - 875 - Day nursery</v>
          </cell>
          <cell r="B146" t="str">
            <v>PVI</v>
          </cell>
          <cell r="D146">
            <v>3510</v>
          </cell>
          <cell r="E146">
            <v>1887</v>
          </cell>
          <cell r="F146">
            <v>1500</v>
          </cell>
          <cell r="G146">
            <v>6897</v>
          </cell>
          <cell r="I146">
            <v>4.915526586568746</v>
          </cell>
          <cell r="J146">
            <v>33902.386867564644</v>
          </cell>
          <cell r="L146">
            <v>0.2238125</v>
          </cell>
          <cell r="M146">
            <v>1543.6348125</v>
          </cell>
          <cell r="N146">
            <v>2838.8866449824563</v>
          </cell>
          <cell r="O146">
            <v>0.4116118087548871</v>
          </cell>
          <cell r="Q146" t="str">
            <v>N</v>
          </cell>
          <cell r="R146">
            <v>0</v>
          </cell>
          <cell r="S146">
            <v>0</v>
          </cell>
          <cell r="U146">
            <v>5.327138395323633</v>
          </cell>
        </row>
        <row r="147">
          <cell r="A147" t="str">
            <v>Wendy Alice Clear - 612 - Childminder</v>
          </cell>
          <cell r="B147" t="str">
            <v>PVI</v>
          </cell>
          <cell r="D147">
            <v>195</v>
          </cell>
          <cell r="E147">
            <v>195</v>
          </cell>
          <cell r="F147">
            <v>180</v>
          </cell>
          <cell r="G147">
            <v>570</v>
          </cell>
          <cell r="I147">
            <v>4.915526586568746</v>
          </cell>
          <cell r="J147">
            <v>2801.8501543441853</v>
          </cell>
          <cell r="L147">
            <v>0.14865714285714288</v>
          </cell>
          <cell r="M147">
            <v>84.73457142857144</v>
          </cell>
          <cell r="N147">
            <v>155.83468398674992</v>
          </cell>
          <cell r="O147">
            <v>0.2733941824328946</v>
          </cell>
          <cell r="Q147" t="str">
            <v>N</v>
          </cell>
          <cell r="R147">
            <v>0</v>
          </cell>
          <cell r="S147">
            <v>0</v>
          </cell>
          <cell r="U147">
            <v>5.188920769001641</v>
          </cell>
        </row>
        <row r="148">
          <cell r="A148" t="str">
            <v>Wetherby House Montessori Ltd - 3806 - Day nursery</v>
          </cell>
          <cell r="B148" t="str">
            <v>PVI</v>
          </cell>
          <cell r="D148">
            <v>5070</v>
          </cell>
          <cell r="E148">
            <v>3510</v>
          </cell>
          <cell r="F148">
            <v>4140</v>
          </cell>
          <cell r="G148">
            <v>12720</v>
          </cell>
          <cell r="I148">
            <v>4.915526586568746</v>
          </cell>
          <cell r="J148">
            <v>62525.49818115445</v>
          </cell>
          <cell r="L148">
            <v>0.08926086956521741</v>
          </cell>
          <cell r="M148">
            <v>1135.3982608695653</v>
          </cell>
          <cell r="N148">
            <v>2088.102013130075</v>
          </cell>
          <cell r="O148">
            <v>0.16415896329638957</v>
          </cell>
          <cell r="Q148" t="str">
            <v>N</v>
          </cell>
          <cell r="R148">
            <v>0</v>
          </cell>
          <cell r="S148">
            <v>0</v>
          </cell>
          <cell r="U148">
            <v>5.079685549865136</v>
          </cell>
        </row>
        <row r="149">
          <cell r="A149" t="str">
            <v>White House Nursery - 871 - Day nursery</v>
          </cell>
          <cell r="B149" t="str">
            <v>PVI</v>
          </cell>
          <cell r="D149">
            <v>2145</v>
          </cell>
          <cell r="E149">
            <v>1170</v>
          </cell>
          <cell r="F149">
            <v>2340</v>
          </cell>
          <cell r="G149">
            <v>5655</v>
          </cell>
          <cell r="I149">
            <v>4.915526586568746</v>
          </cell>
          <cell r="J149">
            <v>27797.30284704626</v>
          </cell>
          <cell r="L149">
            <v>0.13753846153846155</v>
          </cell>
          <cell r="M149">
            <v>777.7800000000001</v>
          </cell>
          <cell r="N149">
            <v>1430.4090817687847</v>
          </cell>
          <cell r="O149">
            <v>0.25294590305371967</v>
          </cell>
          <cell r="Q149" t="str">
            <v>N</v>
          </cell>
          <cell r="R149">
            <v>0</v>
          </cell>
          <cell r="S149">
            <v>0</v>
          </cell>
          <cell r="U149">
            <v>5.168472489622466</v>
          </cell>
        </row>
        <row r="150">
          <cell r="A150" t="str">
            <v>Wonderland Nursery Ltd - 832 - Day nursery</v>
          </cell>
          <cell r="B150" t="str">
            <v>PVI</v>
          </cell>
          <cell r="D150">
            <v>4485</v>
          </cell>
          <cell r="E150">
            <v>2400</v>
          </cell>
          <cell r="F150">
            <v>4065</v>
          </cell>
          <cell r="G150">
            <v>10950</v>
          </cell>
          <cell r="I150">
            <v>4.915526586568746</v>
          </cell>
          <cell r="J150">
            <v>53825.01612292777</v>
          </cell>
          <cell r="L150">
            <v>0.26251351351351354</v>
          </cell>
          <cell r="M150">
            <v>2874.522972972973</v>
          </cell>
          <cell r="N150">
            <v>5286.512595198575</v>
          </cell>
          <cell r="O150">
            <v>0.4827865383742991</v>
          </cell>
          <cell r="Q150" t="str">
            <v>Y</v>
          </cell>
          <cell r="R150">
            <v>0.30354460766261576</v>
          </cell>
          <cell r="S150">
            <v>3323.8134539056427</v>
          </cell>
          <cell r="U150">
            <v>5.701857732605661</v>
          </cell>
        </row>
        <row r="151">
          <cell r="A151" t="str">
            <v>Wonderland Nursery Ltd - 877 - Day nursery</v>
          </cell>
          <cell r="B151" t="str">
            <v>PVI</v>
          </cell>
          <cell r="D151">
            <v>1680</v>
          </cell>
          <cell r="E151">
            <v>1365</v>
          </cell>
          <cell r="F151">
            <v>2520</v>
          </cell>
          <cell r="G151">
            <v>5565</v>
          </cell>
          <cell r="I151">
            <v>4.915526586568746</v>
          </cell>
          <cell r="J151">
            <v>27354.905454255073</v>
          </cell>
          <cell r="L151">
            <v>0.09921739130434784</v>
          </cell>
          <cell r="M151">
            <v>552.1447826086958</v>
          </cell>
          <cell r="N151">
            <v>1015.4451277928588</v>
          </cell>
          <cell r="O151">
            <v>0.18246992413169072</v>
          </cell>
          <cell r="Q151" t="str">
            <v>N</v>
          </cell>
          <cell r="R151">
            <v>0</v>
          </cell>
          <cell r="S151">
            <v>0</v>
          </cell>
          <cell r="U151">
            <v>5.097996510700437</v>
          </cell>
        </row>
        <row r="152">
          <cell r="A152" t="str">
            <v>Woodlands Nursery - 868 - Day nursery</v>
          </cell>
          <cell r="B152" t="str">
            <v>PVI</v>
          </cell>
          <cell r="D152">
            <v>6045</v>
          </cell>
          <cell r="E152">
            <v>4290</v>
          </cell>
          <cell r="F152">
            <v>5580</v>
          </cell>
          <cell r="G152">
            <v>15915</v>
          </cell>
          <cell r="I152">
            <v>4.915526586568746</v>
          </cell>
          <cell r="J152">
            <v>78230.6056252416</v>
          </cell>
          <cell r="L152">
            <v>0.11025806451612909</v>
          </cell>
          <cell r="M152">
            <v>1754.7570967741945</v>
          </cell>
          <cell r="N152">
            <v>3227.159977788107</v>
          </cell>
          <cell r="O152">
            <v>0.20277473941489832</v>
          </cell>
          <cell r="Q152" t="str">
            <v>N</v>
          </cell>
          <cell r="R152">
            <v>0</v>
          </cell>
          <cell r="S152">
            <v>0</v>
          </cell>
          <cell r="U152">
            <v>5.118301325983644</v>
          </cell>
        </row>
        <row r="153">
          <cell r="A153" t="str">
            <v>Woodlodge Montessori School - 2366 - Day nursery</v>
          </cell>
          <cell r="B153" t="str">
            <v>PVI</v>
          </cell>
          <cell r="D153">
            <v>8130</v>
          </cell>
          <cell r="E153">
            <v>3047</v>
          </cell>
          <cell r="F153">
            <v>4144</v>
          </cell>
          <cell r="G153">
            <v>15321</v>
          </cell>
          <cell r="I153">
            <v>4.915526586568746</v>
          </cell>
          <cell r="J153">
            <v>75310.78283281976</v>
          </cell>
          <cell r="L153">
            <v>0.10246428571428574</v>
          </cell>
          <cell r="M153">
            <v>1569.8553214285719</v>
          </cell>
          <cell r="N153">
            <v>2887.1085767626882</v>
          </cell>
          <cell r="O153">
            <v>0.18844126210839293</v>
          </cell>
          <cell r="Q153" t="str">
            <v>N</v>
          </cell>
          <cell r="R153">
            <v>0</v>
          </cell>
          <cell r="S153">
            <v>0</v>
          </cell>
          <cell r="U153">
            <v>5.103967848677139</v>
          </cell>
        </row>
        <row r="154">
          <cell r="A154" t="str">
            <v>Yasmine Ahmed Bashe - 3479 - Childminder</v>
          </cell>
          <cell r="B154" t="str">
            <v>PVI</v>
          </cell>
          <cell r="D154">
            <v>1065</v>
          </cell>
          <cell r="E154">
            <v>195</v>
          </cell>
          <cell r="F154">
            <v>540</v>
          </cell>
          <cell r="G154">
            <v>1800</v>
          </cell>
          <cell r="I154">
            <v>4.915526586568746</v>
          </cell>
          <cell r="J154">
            <v>8847.947855823744</v>
          </cell>
          <cell r="L154">
            <v>0.24733333333333332</v>
          </cell>
          <cell r="M154">
            <v>445.2</v>
          </cell>
          <cell r="N154">
            <v>818.7638190792549</v>
          </cell>
          <cell r="O154">
            <v>0.45486878837736383</v>
          </cell>
          <cell r="Q154" t="str">
            <v>N</v>
          </cell>
          <cell r="R154">
            <v>0</v>
          </cell>
          <cell r="S154">
            <v>0</v>
          </cell>
          <cell r="U154">
            <v>5.37039537494611</v>
          </cell>
        </row>
        <row r="155">
          <cell r="A155" t="str">
            <v>Zuzana Miranda - 755 - Childminder</v>
          </cell>
          <cell r="B155" t="str">
            <v>PVI</v>
          </cell>
          <cell r="D155">
            <v>0</v>
          </cell>
          <cell r="E155">
            <v>0</v>
          </cell>
          <cell r="F155">
            <v>180</v>
          </cell>
          <cell r="G155">
            <v>180</v>
          </cell>
          <cell r="I155">
            <v>4.915526586568746</v>
          </cell>
          <cell r="J155">
            <v>884.7947855823743</v>
          </cell>
          <cell r="L155">
            <v>0.07</v>
          </cell>
          <cell r="M155">
            <v>12.600000000000001</v>
          </cell>
          <cell r="N155">
            <v>23.172560917337407</v>
          </cell>
          <cell r="O155">
            <v>0.12873644954076338</v>
          </cell>
          <cell r="Q155" t="str">
            <v>N</v>
          </cell>
          <cell r="R155">
            <v>0</v>
          </cell>
          <cell r="S155">
            <v>0</v>
          </cell>
          <cell r="U155">
            <v>5.04426303610951</v>
          </cell>
        </row>
        <row r="159">
          <cell r="A159" t="str">
            <v>Belmore Primary</v>
          </cell>
          <cell r="B159" t="str">
            <v>School</v>
          </cell>
          <cell r="D159">
            <v>15015</v>
          </cell>
          <cell r="E159">
            <v>12870</v>
          </cell>
          <cell r="F159">
            <v>14040</v>
          </cell>
          <cell r="G159">
            <v>41925</v>
          </cell>
          <cell r="I159">
            <v>4.915526586568746</v>
          </cell>
          <cell r="J159">
            <v>206083.4521418947</v>
          </cell>
          <cell r="L159">
            <v>0.30678571428571416</v>
          </cell>
          <cell r="M159">
            <v>12861.991071428567</v>
          </cell>
          <cell r="N159">
            <v>23654.386636581607</v>
          </cell>
          <cell r="O159">
            <v>0.5642071946709983</v>
          </cell>
          <cell r="Q159" t="str">
            <v>Y</v>
          </cell>
          <cell r="R159">
            <v>0.30354460766261576</v>
          </cell>
          <cell r="S159">
            <v>12726.107676255166</v>
          </cell>
          <cell r="U159">
            <v>5.78327838890236</v>
          </cell>
        </row>
        <row r="160">
          <cell r="A160" t="str">
            <v>Botwell House RC Primary</v>
          </cell>
          <cell r="B160" t="str">
            <v>School</v>
          </cell>
          <cell r="D160">
            <v>14820</v>
          </cell>
          <cell r="E160">
            <v>13455</v>
          </cell>
          <cell r="F160">
            <v>13500</v>
          </cell>
          <cell r="G160">
            <v>41775</v>
          </cell>
          <cell r="I160">
            <v>4.915526586568746</v>
          </cell>
          <cell r="J160">
            <v>205346.12315390937</v>
          </cell>
          <cell r="L160">
            <v>0.26847457627118637</v>
          </cell>
          <cell r="M160">
            <v>11215.52542372881</v>
          </cell>
          <cell r="N160">
            <v>20626.384611214464</v>
          </cell>
          <cell r="O160">
            <v>0.4937494820159058</v>
          </cell>
          <cell r="Q160" t="str">
            <v>Y</v>
          </cell>
          <cell r="R160">
            <v>0.30354460766261576</v>
          </cell>
          <cell r="S160">
            <v>12680.575985105774</v>
          </cell>
          <cell r="U160">
            <v>5.712820676247268</v>
          </cell>
        </row>
        <row r="161">
          <cell r="A161" t="str">
            <v>Bourne Primary</v>
          </cell>
          <cell r="B161" t="str">
            <v>School</v>
          </cell>
          <cell r="D161">
            <v>6240</v>
          </cell>
          <cell r="E161">
            <v>5070</v>
          </cell>
          <cell r="F161">
            <v>4680</v>
          </cell>
          <cell r="G161">
            <v>15990</v>
          </cell>
          <cell r="I161">
            <v>4.915526586568746</v>
          </cell>
          <cell r="J161">
            <v>78599.27011923425</v>
          </cell>
          <cell r="L161">
            <v>0.19150000000000011</v>
          </cell>
          <cell r="M161">
            <v>3062.085000000002</v>
          </cell>
          <cell r="N161">
            <v>5631.456444171837</v>
          </cell>
          <cell r="O161">
            <v>0.3521861441008028</v>
          </cell>
          <cell r="Q161" t="str">
            <v>N</v>
          </cell>
          <cell r="R161">
            <v>0</v>
          </cell>
          <cell r="S161">
            <v>0</v>
          </cell>
          <cell r="U161">
            <v>5.267712730669549</v>
          </cell>
        </row>
        <row r="162">
          <cell r="A162" t="str">
            <v>The Breakspear School</v>
          </cell>
          <cell r="B162" t="str">
            <v>School</v>
          </cell>
          <cell r="D162">
            <v>8970</v>
          </cell>
          <cell r="E162">
            <v>12675</v>
          </cell>
          <cell r="F162">
            <v>11880</v>
          </cell>
          <cell r="G162">
            <v>33525</v>
          </cell>
          <cell r="I162">
            <v>4.915526586568746</v>
          </cell>
          <cell r="J162">
            <v>164793.02881471723</v>
          </cell>
          <cell r="L162">
            <v>0.06736263736263735</v>
          </cell>
          <cell r="M162">
            <v>2258.3324175824173</v>
          </cell>
          <cell r="N162">
            <v>4153.2813903195565</v>
          </cell>
          <cell r="O162">
            <v>0.12388609665382719</v>
          </cell>
          <cell r="Q162" t="str">
            <v>N</v>
          </cell>
          <cell r="R162">
            <v>0</v>
          </cell>
          <cell r="S162">
            <v>0</v>
          </cell>
          <cell r="U162">
            <v>5.039412683222573</v>
          </cell>
        </row>
        <row r="163">
          <cell r="A163" t="str">
            <v>Brookside Primary</v>
          </cell>
          <cell r="B163" t="str">
            <v>School</v>
          </cell>
          <cell r="D163">
            <v>13065</v>
          </cell>
          <cell r="E163">
            <v>9360</v>
          </cell>
          <cell r="F163">
            <v>9180</v>
          </cell>
          <cell r="G163">
            <v>31605</v>
          </cell>
          <cell r="I163">
            <v>4.915526586568746</v>
          </cell>
          <cell r="J163">
            <v>155355.21776850522</v>
          </cell>
          <cell r="L163">
            <v>0.3086842105263157</v>
          </cell>
          <cell r="M163">
            <v>9755.96447368421</v>
          </cell>
          <cell r="N163">
            <v>17942.117545541816</v>
          </cell>
          <cell r="O163">
            <v>0.5676987041778774</v>
          </cell>
          <cell r="Q163" t="str">
            <v>Y</v>
          </cell>
          <cell r="R163">
            <v>0.30354460766261576</v>
          </cell>
          <cell r="S163">
            <v>9593.52732517697</v>
          </cell>
          <cell r="U163">
            <v>5.78676989840924</v>
          </cell>
        </row>
        <row r="164">
          <cell r="A164" t="str">
            <v>BWI CE Primary</v>
          </cell>
          <cell r="B164" t="str">
            <v>School</v>
          </cell>
          <cell r="D164">
            <v>6435</v>
          </cell>
          <cell r="E164">
            <v>4875</v>
          </cell>
          <cell r="F164">
            <v>4680</v>
          </cell>
          <cell r="G164">
            <v>15990</v>
          </cell>
          <cell r="I164">
            <v>4.915526586568746</v>
          </cell>
          <cell r="J164">
            <v>78599.27011923425</v>
          </cell>
          <cell r="L164">
            <v>0.14106382978723406</v>
          </cell>
          <cell r="M164">
            <v>2255.6106382978724</v>
          </cell>
          <cell r="N164">
            <v>4148.275787440615</v>
          </cell>
          <cell r="O164">
            <v>0.2594293800775869</v>
          </cell>
          <cell r="Q164" t="str">
            <v>N</v>
          </cell>
          <cell r="R164">
            <v>0</v>
          </cell>
          <cell r="S164">
            <v>0</v>
          </cell>
          <cell r="U164">
            <v>5.174955966646333</v>
          </cell>
        </row>
        <row r="165">
          <cell r="A165" t="str">
            <v>Charville Primary</v>
          </cell>
          <cell r="B165" t="str">
            <v>School</v>
          </cell>
          <cell r="D165">
            <v>15405</v>
          </cell>
          <cell r="E165">
            <v>10920</v>
          </cell>
          <cell r="F165">
            <v>12600</v>
          </cell>
          <cell r="G165">
            <v>38925</v>
          </cell>
          <cell r="I165">
            <v>4.915526586568746</v>
          </cell>
          <cell r="J165">
            <v>191336.87238218845</v>
          </cell>
          <cell r="L165">
            <v>0.2551020408163266</v>
          </cell>
          <cell r="M165">
            <v>9929.846938775512</v>
          </cell>
          <cell r="N165">
            <v>18261.9034197311</v>
          </cell>
          <cell r="O165">
            <v>0.4691561572185254</v>
          </cell>
          <cell r="Q165" t="str">
            <v>Y</v>
          </cell>
          <cell r="R165">
            <v>0.30354460766261576</v>
          </cell>
          <cell r="S165">
            <v>11815.473853267318</v>
          </cell>
          <cell r="U165">
            <v>5.688227351449887</v>
          </cell>
        </row>
        <row r="166">
          <cell r="A166" t="str">
            <v>Cherry Lane Primary</v>
          </cell>
          <cell r="B166" t="str">
            <v>School</v>
          </cell>
          <cell r="D166">
            <v>15600</v>
          </cell>
          <cell r="E166">
            <v>11115</v>
          </cell>
          <cell r="F166">
            <v>12600</v>
          </cell>
          <cell r="G166">
            <v>39315</v>
          </cell>
          <cell r="I166">
            <v>4.915526586568746</v>
          </cell>
          <cell r="J166">
            <v>193253.92775095027</v>
          </cell>
          <cell r="L166">
            <v>0.295966386554622</v>
          </cell>
          <cell r="M166">
            <v>11635.918487394963</v>
          </cell>
          <cell r="N166">
            <v>21399.52618875653</v>
          </cell>
          <cell r="O166">
            <v>0.5443094541207307</v>
          </cell>
          <cell r="Q166" t="str">
            <v>Y</v>
          </cell>
          <cell r="R166">
            <v>0.30354460766261576</v>
          </cell>
          <cell r="S166">
            <v>11933.856250255738</v>
          </cell>
          <cell r="U166">
            <v>5.763380648352093</v>
          </cell>
        </row>
        <row r="167">
          <cell r="A167" t="str">
            <v>Colham Manor Primary</v>
          </cell>
          <cell r="B167" t="str">
            <v>School</v>
          </cell>
          <cell r="D167">
            <v>12870</v>
          </cell>
          <cell r="E167">
            <v>12090</v>
          </cell>
          <cell r="F167">
            <v>12240</v>
          </cell>
          <cell r="G167">
            <v>37200</v>
          </cell>
          <cell r="I167">
            <v>4.915526586568746</v>
          </cell>
          <cell r="J167">
            <v>182857.58902035735</v>
          </cell>
          <cell r="L167">
            <v>0.2758999999999998</v>
          </cell>
          <cell r="M167">
            <v>10263.479999999992</v>
          </cell>
          <cell r="N167">
            <v>18875.48535903761</v>
          </cell>
          <cell r="O167">
            <v>0.5074055204042369</v>
          </cell>
          <cell r="Q167" t="str">
            <v>Y</v>
          </cell>
          <cell r="R167">
            <v>0.30354460766261576</v>
          </cell>
          <cell r="S167">
            <v>11291.859405049307</v>
          </cell>
          <cell r="U167">
            <v>5.726476714635599</v>
          </cell>
        </row>
        <row r="168">
          <cell r="A168" t="str">
            <v>Coteford Infant</v>
          </cell>
          <cell r="B168" t="str">
            <v>School</v>
          </cell>
          <cell r="D168">
            <v>13650</v>
          </cell>
          <cell r="E168">
            <v>9945</v>
          </cell>
          <cell r="F168">
            <v>12420</v>
          </cell>
          <cell r="G168">
            <v>36015</v>
          </cell>
          <cell r="I168">
            <v>4.915526586568746</v>
          </cell>
          <cell r="J168">
            <v>177032.6900152734</v>
          </cell>
          <cell r="L168">
            <v>0.15199999999999983</v>
          </cell>
          <cell r="M168">
            <v>5474.279999999994</v>
          </cell>
          <cell r="N168">
            <v>10067.705299885847</v>
          </cell>
          <cell r="O168">
            <v>0.27954200471708585</v>
          </cell>
          <cell r="Q168" t="str">
            <v>N</v>
          </cell>
          <cell r="R168">
            <v>0</v>
          </cell>
          <cell r="S168">
            <v>0</v>
          </cell>
          <cell r="U168">
            <v>5.195068591285832</v>
          </cell>
        </row>
        <row r="169">
          <cell r="A169" t="str">
            <v>Cowley St Laurence</v>
          </cell>
          <cell r="B169" t="str">
            <v>School</v>
          </cell>
          <cell r="D169">
            <v>9750</v>
          </cell>
          <cell r="E169">
            <v>6045</v>
          </cell>
          <cell r="F169">
            <v>9000</v>
          </cell>
          <cell r="G169">
            <v>24795</v>
          </cell>
          <cell r="I169">
            <v>4.915526586568746</v>
          </cell>
          <cell r="J169">
            <v>121880.48171397207</v>
          </cell>
          <cell r="L169">
            <v>0.25600000000000006</v>
          </cell>
          <cell r="M169">
            <v>6347.520000000001</v>
          </cell>
          <cell r="N169">
            <v>11673.67411698552</v>
          </cell>
          <cell r="O169">
            <v>0.47080758689193464</v>
          </cell>
          <cell r="Q169" t="str">
            <v>Y</v>
          </cell>
          <cell r="R169">
            <v>0.30354460766261576</v>
          </cell>
          <cell r="S169">
            <v>7526.388546994558</v>
          </cell>
          <cell r="U169">
            <v>5.689878781123297</v>
          </cell>
        </row>
        <row r="170">
          <cell r="A170" t="str">
            <v>Cranford Park Primary</v>
          </cell>
          <cell r="B170" t="str">
            <v>School</v>
          </cell>
          <cell r="D170">
            <v>23400</v>
          </cell>
          <cell r="E170">
            <v>17940</v>
          </cell>
          <cell r="F170">
            <v>21780</v>
          </cell>
          <cell r="G170">
            <v>63120</v>
          </cell>
          <cell r="I170">
            <v>4.915526586568746</v>
          </cell>
          <cell r="J170">
            <v>310268.03814421926</v>
          </cell>
          <cell r="L170">
            <v>0.2804545454545454</v>
          </cell>
          <cell r="M170">
            <v>17702.290909090905</v>
          </cell>
          <cell r="N170">
            <v>32556.144005344217</v>
          </cell>
          <cell r="O170">
            <v>0.5157817491340972</v>
          </cell>
          <cell r="Q170" t="str">
            <v>Y</v>
          </cell>
          <cell r="R170">
            <v>0.30354460766261576</v>
          </cell>
          <cell r="S170">
            <v>19159.735635664307</v>
          </cell>
          <cell r="U170">
            <v>5.73485294336546</v>
          </cell>
        </row>
        <row r="171">
          <cell r="A171" t="str">
            <v>Deanesfield Primary</v>
          </cell>
          <cell r="B171" t="str">
            <v>School</v>
          </cell>
          <cell r="D171">
            <v>17355</v>
          </cell>
          <cell r="E171">
            <v>13650</v>
          </cell>
          <cell r="F171">
            <v>15300</v>
          </cell>
          <cell r="G171">
            <v>46305</v>
          </cell>
          <cell r="I171">
            <v>4.915526586568746</v>
          </cell>
          <cell r="J171">
            <v>227613.4585910658</v>
          </cell>
          <cell r="L171">
            <v>0.16814516129032267</v>
          </cell>
          <cell r="M171">
            <v>7785.961693548391</v>
          </cell>
          <cell r="N171">
            <v>14319.100924111553</v>
          </cell>
          <cell r="O171">
            <v>0.3092344438853591</v>
          </cell>
          <cell r="Q171" t="str">
            <v>N</v>
          </cell>
          <cell r="R171">
            <v>0</v>
          </cell>
          <cell r="S171">
            <v>0</v>
          </cell>
          <cell r="U171">
            <v>5.224761030454105</v>
          </cell>
        </row>
        <row r="172">
          <cell r="A172" t="str">
            <v>Dr Tripletts CE</v>
          </cell>
          <cell r="B172" t="str">
            <v>School</v>
          </cell>
          <cell r="D172">
            <v>7995</v>
          </cell>
          <cell r="E172">
            <v>11115</v>
          </cell>
          <cell r="F172">
            <v>7380</v>
          </cell>
          <cell r="G172">
            <v>26490</v>
          </cell>
          <cell r="I172">
            <v>4.915526586568746</v>
          </cell>
          <cell r="J172">
            <v>130212.29927820609</v>
          </cell>
          <cell r="L172">
            <v>0.26785714285714296</v>
          </cell>
          <cell r="M172">
            <v>7095.535714285717</v>
          </cell>
          <cell r="N172">
            <v>13049.343934954679</v>
          </cell>
          <cell r="O172">
            <v>0.4926139650794518</v>
          </cell>
          <cell r="Q172" t="str">
            <v>Y</v>
          </cell>
          <cell r="R172">
            <v>0.30354460766261576</v>
          </cell>
          <cell r="S172">
            <v>8040.896656982692</v>
          </cell>
          <cell r="U172">
            <v>5.7116851593108136</v>
          </cell>
        </row>
        <row r="173">
          <cell r="A173" t="str">
            <v>Field End Infant</v>
          </cell>
          <cell r="B173" t="str">
            <v>School</v>
          </cell>
          <cell r="D173">
            <v>23400</v>
          </cell>
          <cell r="E173">
            <v>17355</v>
          </cell>
          <cell r="F173">
            <v>21600</v>
          </cell>
          <cell r="G173">
            <v>62355</v>
          </cell>
          <cell r="I173">
            <v>4.915526586568746</v>
          </cell>
          <cell r="J173">
            <v>306507.66030549415</v>
          </cell>
          <cell r="L173">
            <v>0.1444444444444445</v>
          </cell>
          <cell r="M173">
            <v>9006.833333333336</v>
          </cell>
          <cell r="N173">
            <v>16564.396356267604</v>
          </cell>
          <cell r="O173">
            <v>0.2656466419095117</v>
          </cell>
          <cell r="Q173" t="str">
            <v>N</v>
          </cell>
          <cell r="R173">
            <v>0</v>
          </cell>
          <cell r="S173">
            <v>0</v>
          </cell>
          <cell r="U173">
            <v>5.181173228478258</v>
          </cell>
        </row>
        <row r="174">
          <cell r="A174" t="str">
            <v>Frithwood Primary</v>
          </cell>
          <cell r="B174" t="str">
            <v>School</v>
          </cell>
          <cell r="D174">
            <v>7410</v>
          </cell>
          <cell r="E174">
            <v>4485</v>
          </cell>
          <cell r="F174">
            <v>4860</v>
          </cell>
          <cell r="G174">
            <v>16755</v>
          </cell>
          <cell r="I174">
            <v>4.915526586568746</v>
          </cell>
          <cell r="J174">
            <v>82359.64795795934</v>
          </cell>
          <cell r="L174">
            <v>0.12509433962264155</v>
          </cell>
          <cell r="M174">
            <v>2095.955660377359</v>
          </cell>
          <cell r="N174">
            <v>3854.6555730263885</v>
          </cell>
          <cell r="O174">
            <v>0.23006001629521866</v>
          </cell>
          <cell r="Q174" t="str">
            <v>N</v>
          </cell>
          <cell r="R174">
            <v>0</v>
          </cell>
          <cell r="S174">
            <v>0</v>
          </cell>
          <cell r="U174">
            <v>5.145586602863965</v>
          </cell>
        </row>
        <row r="175">
          <cell r="A175" t="str">
            <v>Glebe Primary</v>
          </cell>
          <cell r="B175" t="str">
            <v>School</v>
          </cell>
          <cell r="D175">
            <v>10140</v>
          </cell>
          <cell r="E175">
            <v>9555</v>
          </cell>
          <cell r="F175">
            <v>8640</v>
          </cell>
          <cell r="G175">
            <v>28335</v>
          </cell>
          <cell r="I175">
            <v>4.915526586568746</v>
          </cell>
          <cell r="J175">
            <v>139281.44583042542</v>
          </cell>
          <cell r="L175">
            <v>0.1085227272727273</v>
          </cell>
          <cell r="M175">
            <v>3074.991477272728</v>
          </cell>
          <cell r="N175">
            <v>5655.192645031399</v>
          </cell>
          <cell r="O175">
            <v>0.19958329433673544</v>
          </cell>
          <cell r="Q175" t="str">
            <v>N</v>
          </cell>
          <cell r="R175">
            <v>0</v>
          </cell>
          <cell r="S175">
            <v>0</v>
          </cell>
          <cell r="U175">
            <v>5.115109880905481</v>
          </cell>
        </row>
        <row r="176">
          <cell r="A176" t="str">
            <v>Grange Park Infant</v>
          </cell>
          <cell r="B176" t="str">
            <v>School</v>
          </cell>
          <cell r="D176">
            <v>21645</v>
          </cell>
          <cell r="E176">
            <v>16185</v>
          </cell>
          <cell r="F176">
            <v>19260</v>
          </cell>
          <cell r="G176">
            <v>57090</v>
          </cell>
          <cell r="I176">
            <v>4.915526586568746</v>
          </cell>
          <cell r="J176">
            <v>280627.41282720974</v>
          </cell>
          <cell r="L176">
            <v>0.23193103448275867</v>
          </cell>
          <cell r="M176">
            <v>13240.942758620693</v>
          </cell>
          <cell r="N176">
            <v>24351.313704532982</v>
          </cell>
          <cell r="O176">
            <v>0.4265425416803815</v>
          </cell>
          <cell r="Q176" t="str">
            <v>N</v>
          </cell>
          <cell r="R176">
            <v>0</v>
          </cell>
          <cell r="S176">
            <v>0</v>
          </cell>
          <cell r="U176">
            <v>5.342069128249128</v>
          </cell>
        </row>
        <row r="177">
          <cell r="A177" t="str">
            <v>Guru Nanak Sikh Academy</v>
          </cell>
          <cell r="B177" t="str">
            <v>School</v>
          </cell>
          <cell r="D177">
            <v>11700</v>
          </cell>
          <cell r="E177">
            <v>11505</v>
          </cell>
          <cell r="F177">
            <v>10800</v>
          </cell>
          <cell r="G177">
            <v>34005</v>
          </cell>
          <cell r="I177">
            <v>4.915526586568746</v>
          </cell>
          <cell r="J177">
            <v>167152.48157627022</v>
          </cell>
          <cell r="L177">
            <v>0.24804347826086953</v>
          </cell>
          <cell r="M177">
            <v>8434.71847826087</v>
          </cell>
          <cell r="N177">
            <v>15512.224425245351</v>
          </cell>
          <cell r="O177">
            <v>0.45617481032922663</v>
          </cell>
          <cell r="Q177" t="str">
            <v>N</v>
          </cell>
          <cell r="R177">
            <v>0</v>
          </cell>
          <cell r="S177">
            <v>0</v>
          </cell>
          <cell r="U177">
            <v>5.371701396897973</v>
          </cell>
        </row>
        <row r="178">
          <cell r="A178" t="str">
            <v>Harefield Infant</v>
          </cell>
          <cell r="B178" t="str">
            <v>School</v>
          </cell>
          <cell r="D178">
            <v>8775</v>
          </cell>
          <cell r="E178">
            <v>8580</v>
          </cell>
          <cell r="F178">
            <v>9720</v>
          </cell>
          <cell r="G178">
            <v>27075</v>
          </cell>
          <cell r="I178">
            <v>4.915526586568746</v>
          </cell>
          <cell r="J178">
            <v>133087.8823313488</v>
          </cell>
          <cell r="L178">
            <v>0.1832926829268291</v>
          </cell>
          <cell r="M178">
            <v>4962.649390243898</v>
          </cell>
          <cell r="N178">
            <v>9126.769468794766</v>
          </cell>
          <cell r="O178">
            <v>0.33709213181144104</v>
          </cell>
          <cell r="Q178" t="str">
            <v>N</v>
          </cell>
          <cell r="R178">
            <v>0</v>
          </cell>
          <cell r="S178">
            <v>0</v>
          </cell>
          <cell r="U178">
            <v>5.252618718380187</v>
          </cell>
        </row>
        <row r="179">
          <cell r="A179" t="str">
            <v>Harlyn Primary</v>
          </cell>
          <cell r="B179" t="str">
            <v>School</v>
          </cell>
          <cell r="D179">
            <v>9945</v>
          </cell>
          <cell r="E179">
            <v>7800</v>
          </cell>
          <cell r="F179">
            <v>7200</v>
          </cell>
          <cell r="G179">
            <v>24945</v>
          </cell>
          <cell r="I179">
            <v>4.915526586568746</v>
          </cell>
          <cell r="J179">
            <v>122617.81070195738</v>
          </cell>
          <cell r="L179">
            <v>0.14842105263157893</v>
          </cell>
          <cell r="M179">
            <v>3702.363157894736</v>
          </cell>
          <cell r="N179">
            <v>6808.986969398527</v>
          </cell>
          <cell r="O179">
            <v>0.2729599907556034</v>
          </cell>
          <cell r="Q179" t="str">
            <v>N</v>
          </cell>
          <cell r="R179">
            <v>0</v>
          </cell>
          <cell r="S179">
            <v>0</v>
          </cell>
          <cell r="U179">
            <v>5.188486577324349</v>
          </cell>
        </row>
        <row r="180">
          <cell r="A180" t="str">
            <v>Harmondsworth Primary</v>
          </cell>
          <cell r="B180" t="str">
            <v>School</v>
          </cell>
          <cell r="D180">
            <v>5460</v>
          </cell>
          <cell r="E180">
            <v>3900</v>
          </cell>
          <cell r="F180">
            <v>3600</v>
          </cell>
          <cell r="G180">
            <v>12960</v>
          </cell>
          <cell r="I180">
            <v>4.915526586568746</v>
          </cell>
          <cell r="J180">
            <v>63705.224561930954</v>
          </cell>
          <cell r="L180">
            <v>0.2607317073170731</v>
          </cell>
          <cell r="M180">
            <v>3379.0829268292678</v>
          </cell>
          <cell r="N180">
            <v>6214.444838625871</v>
          </cell>
          <cell r="O180">
            <v>0.4795096326100209</v>
          </cell>
          <cell r="Q180" t="str">
            <v>Y</v>
          </cell>
          <cell r="R180">
            <v>0.30354460766261576</v>
          </cell>
          <cell r="S180">
            <v>3933.9381153075</v>
          </cell>
          <cell r="U180">
            <v>5.698580826841383</v>
          </cell>
        </row>
        <row r="181">
          <cell r="A181" t="str">
            <v>Hayes Park Primary</v>
          </cell>
          <cell r="B181" t="str">
            <v>School</v>
          </cell>
          <cell r="D181">
            <v>17355</v>
          </cell>
          <cell r="E181">
            <v>15405</v>
          </cell>
          <cell r="F181">
            <v>16200</v>
          </cell>
          <cell r="G181">
            <v>48960</v>
          </cell>
          <cell r="I181">
            <v>4.915526586568746</v>
          </cell>
          <cell r="J181">
            <v>240664.18167840582</v>
          </cell>
          <cell r="L181">
            <v>0.20552238805970174</v>
          </cell>
          <cell r="M181">
            <v>10062.376119402998</v>
          </cell>
          <cell r="N181">
            <v>18505.636793652946</v>
          </cell>
          <cell r="O181">
            <v>0.3779746077134997</v>
          </cell>
          <cell r="Q181" t="str">
            <v>N</v>
          </cell>
          <cell r="R181">
            <v>0</v>
          </cell>
          <cell r="S181">
            <v>0</v>
          </cell>
          <cell r="U181">
            <v>5.293501194282246</v>
          </cell>
        </row>
        <row r="182">
          <cell r="A182" t="str">
            <v>Heathrow Primary</v>
          </cell>
          <cell r="B182" t="str">
            <v>School</v>
          </cell>
          <cell r="D182">
            <v>7800</v>
          </cell>
          <cell r="E182">
            <v>7800</v>
          </cell>
          <cell r="F182">
            <v>7740</v>
          </cell>
          <cell r="G182">
            <v>23340</v>
          </cell>
          <cell r="I182">
            <v>4.915526586568746</v>
          </cell>
          <cell r="J182">
            <v>114728.39053051455</v>
          </cell>
          <cell r="L182">
            <v>0.21086956521739134</v>
          </cell>
          <cell r="M182">
            <v>4921.695652173914</v>
          </cell>
          <cell r="N182">
            <v>9051.451771158307</v>
          </cell>
          <cell r="O182">
            <v>0.38780855917559154</v>
          </cell>
          <cell r="Q182" t="str">
            <v>N</v>
          </cell>
          <cell r="R182">
            <v>0</v>
          </cell>
          <cell r="S182">
            <v>0</v>
          </cell>
          <cell r="U182">
            <v>5.303335145744338</v>
          </cell>
        </row>
        <row r="183">
          <cell r="A183" t="str">
            <v>Hermitage Primary</v>
          </cell>
          <cell r="B183" t="str">
            <v>School</v>
          </cell>
          <cell r="D183">
            <v>8190</v>
          </cell>
          <cell r="E183">
            <v>5460</v>
          </cell>
          <cell r="F183">
            <v>7560</v>
          </cell>
          <cell r="G183">
            <v>21210</v>
          </cell>
          <cell r="I183">
            <v>4.915526586568746</v>
          </cell>
          <cell r="J183">
            <v>104258.31890112312</v>
          </cell>
          <cell r="L183">
            <v>0.1688888888888889</v>
          </cell>
          <cell r="M183">
            <v>3582.1333333333337</v>
          </cell>
          <cell r="N183">
            <v>6587.87324449933</v>
          </cell>
          <cell r="O183">
            <v>0.310602227463429</v>
          </cell>
          <cell r="Q183" t="str">
            <v>N</v>
          </cell>
          <cell r="R183">
            <v>0</v>
          </cell>
          <cell r="S183">
            <v>0</v>
          </cell>
          <cell r="U183">
            <v>5.226128814032175</v>
          </cell>
        </row>
        <row r="184">
          <cell r="A184" t="str">
            <v>Hewens Primary</v>
          </cell>
          <cell r="B184" t="str">
            <v>School</v>
          </cell>
          <cell r="D184">
            <v>13845</v>
          </cell>
          <cell r="E184">
            <v>7995</v>
          </cell>
          <cell r="F184">
            <v>10620</v>
          </cell>
          <cell r="G184">
            <v>32460</v>
          </cell>
          <cell r="I184">
            <v>4.915526586568746</v>
          </cell>
          <cell r="J184">
            <v>159557.9930000215</v>
          </cell>
          <cell r="L184">
            <v>0.2542857142857142</v>
          </cell>
          <cell r="M184">
            <v>8254.114285714284</v>
          </cell>
          <cell r="N184">
            <v>15180.076674950726</v>
          </cell>
          <cell r="O184">
            <v>0.4676548575154259</v>
          </cell>
          <cell r="Q184" t="str">
            <v>Y</v>
          </cell>
          <cell r="R184">
            <v>0.30354460766261576</v>
          </cell>
          <cell r="S184">
            <v>9853.057964728509</v>
          </cell>
          <cell r="U184">
            <v>5.686726051746788</v>
          </cell>
        </row>
        <row r="185">
          <cell r="A185" t="str">
            <v>Highfield Primary</v>
          </cell>
          <cell r="B185" t="str">
            <v>School</v>
          </cell>
          <cell r="D185">
            <v>5265</v>
          </cell>
          <cell r="E185">
            <v>2340</v>
          </cell>
          <cell r="F185">
            <v>2520</v>
          </cell>
          <cell r="G185">
            <v>10125</v>
          </cell>
          <cell r="I185">
            <v>4.915526586568746</v>
          </cell>
          <cell r="J185">
            <v>49769.706689008555</v>
          </cell>
          <cell r="L185">
            <v>0.24210526315789482</v>
          </cell>
          <cell r="M185">
            <v>2451.315789473685</v>
          </cell>
          <cell r="N185">
            <v>4508.195592000793</v>
          </cell>
          <cell r="O185">
            <v>0.44525388562970797</v>
          </cell>
          <cell r="Q185" t="str">
            <v>N</v>
          </cell>
          <cell r="R185">
            <v>0</v>
          </cell>
          <cell r="S185">
            <v>0</v>
          </cell>
          <cell r="U185">
            <v>5.360780472198455</v>
          </cell>
        </row>
        <row r="186">
          <cell r="A186" t="str">
            <v>Hillingdon Primary</v>
          </cell>
          <cell r="B186" t="str">
            <v>School</v>
          </cell>
          <cell r="D186">
            <v>11700</v>
          </cell>
          <cell r="E186">
            <v>13455</v>
          </cell>
          <cell r="F186">
            <v>10620</v>
          </cell>
          <cell r="G186">
            <v>35775</v>
          </cell>
          <cell r="I186">
            <v>4.915526586568746</v>
          </cell>
          <cell r="J186">
            <v>175852.9636344969</v>
          </cell>
          <cell r="L186">
            <v>0.2223364485981308</v>
          </cell>
          <cell r="M186">
            <v>7954.086448598129</v>
          </cell>
          <cell r="N186">
            <v>14628.297839040322</v>
          </cell>
          <cell r="O186">
            <v>0.4088972142289398</v>
          </cell>
          <cell r="Q186" t="str">
            <v>N</v>
          </cell>
          <cell r="R186">
            <v>0</v>
          </cell>
          <cell r="S186">
            <v>0</v>
          </cell>
          <cell r="U186">
            <v>5.324423800797686</v>
          </cell>
        </row>
        <row r="187">
          <cell r="A187" t="str">
            <v>Hillside Infant</v>
          </cell>
          <cell r="B187" t="str">
            <v>School</v>
          </cell>
          <cell r="D187">
            <v>12480</v>
          </cell>
          <cell r="E187">
            <v>9555</v>
          </cell>
          <cell r="F187">
            <v>11700</v>
          </cell>
          <cell r="G187">
            <v>33735</v>
          </cell>
          <cell r="I187">
            <v>4.915526586568746</v>
          </cell>
          <cell r="J187">
            <v>165825.28939789665</v>
          </cell>
          <cell r="L187">
            <v>0.1632258064516129</v>
          </cell>
          <cell r="M187">
            <v>5506.42258064516</v>
          </cell>
          <cell r="N187">
            <v>10126.818467190651</v>
          </cell>
          <cell r="O187">
            <v>0.3001872970858352</v>
          </cell>
          <cell r="Q187" t="str">
            <v>N</v>
          </cell>
          <cell r="R187">
            <v>0</v>
          </cell>
          <cell r="S187">
            <v>0</v>
          </cell>
          <cell r="U187">
            <v>5.2157138836545816</v>
          </cell>
        </row>
        <row r="188">
          <cell r="A188" t="str">
            <v>Holy Trinity CE Primary</v>
          </cell>
          <cell r="B188" t="str">
            <v>School</v>
          </cell>
          <cell r="D188">
            <v>4290</v>
          </cell>
          <cell r="E188">
            <v>3900</v>
          </cell>
          <cell r="F188">
            <v>3780</v>
          </cell>
          <cell r="G188">
            <v>11970</v>
          </cell>
          <cell r="I188">
            <v>4.915526586568746</v>
          </cell>
          <cell r="J188">
            <v>58838.853241227895</v>
          </cell>
          <cell r="L188">
            <v>0.11172413793103447</v>
          </cell>
          <cell r="M188">
            <v>1337.3379310344826</v>
          </cell>
          <cell r="N188">
            <v>2459.4876725367076</v>
          </cell>
          <cell r="O188">
            <v>0.20547098350348433</v>
          </cell>
          <cell r="Q188" t="str">
            <v>N</v>
          </cell>
          <cell r="R188">
            <v>0</v>
          </cell>
          <cell r="S188">
            <v>0</v>
          </cell>
          <cell r="U188">
            <v>5.12099757007223</v>
          </cell>
        </row>
        <row r="189">
          <cell r="A189" t="str">
            <v>John Locke</v>
          </cell>
          <cell r="B189" t="str">
            <v>School</v>
          </cell>
          <cell r="D189">
            <v>10530</v>
          </cell>
          <cell r="E189">
            <v>10140</v>
          </cell>
          <cell r="F189">
            <v>9720</v>
          </cell>
          <cell r="G189">
            <v>30390</v>
          </cell>
          <cell r="I189">
            <v>4.915526586568746</v>
          </cell>
          <cell r="J189">
            <v>149382.8529658242</v>
          </cell>
          <cell r="L189">
            <v>0.221341463414634</v>
          </cell>
          <cell r="M189">
            <v>6726.567073170728</v>
          </cell>
          <cell r="N189">
            <v>12370.77660854005</v>
          </cell>
          <cell r="O189">
            <v>0.4070673448022393</v>
          </cell>
          <cell r="Q189" t="str">
            <v>N</v>
          </cell>
          <cell r="R189">
            <v>0</v>
          </cell>
          <cell r="S189">
            <v>0</v>
          </cell>
          <cell r="U189">
            <v>5.322593931370985</v>
          </cell>
        </row>
        <row r="190">
          <cell r="A190" t="str">
            <v>Lady Bankes Infant</v>
          </cell>
          <cell r="B190" t="str">
            <v>School</v>
          </cell>
          <cell r="D190">
            <v>16965</v>
          </cell>
          <cell r="E190">
            <v>12675</v>
          </cell>
          <cell r="F190">
            <v>14400</v>
          </cell>
          <cell r="G190">
            <v>44040</v>
          </cell>
          <cell r="I190">
            <v>4.915526586568746</v>
          </cell>
          <cell r="J190">
            <v>216479.7908724876</v>
          </cell>
          <cell r="L190">
            <v>0.1130769230769231</v>
          </cell>
          <cell r="M190">
            <v>4979.907692307694</v>
          </cell>
          <cell r="N190">
            <v>9158.509076406124</v>
          </cell>
          <cell r="O190">
            <v>0.20795888002738702</v>
          </cell>
          <cell r="Q190" t="str">
            <v>N</v>
          </cell>
          <cell r="R190">
            <v>0</v>
          </cell>
          <cell r="S190">
            <v>0</v>
          </cell>
          <cell r="U190">
            <v>5.123485466596133</v>
          </cell>
        </row>
        <row r="191">
          <cell r="A191" t="str">
            <v>Lake Farm Park</v>
          </cell>
          <cell r="B191" t="str">
            <v>School</v>
          </cell>
          <cell r="D191">
            <v>15405</v>
          </cell>
          <cell r="E191">
            <v>16380</v>
          </cell>
          <cell r="F191">
            <v>14040</v>
          </cell>
          <cell r="G191">
            <v>45825</v>
          </cell>
          <cell r="I191">
            <v>4.915526586568746</v>
          </cell>
          <cell r="J191">
            <v>225254.0058295128</v>
          </cell>
          <cell r="L191">
            <v>0.26557251908396934</v>
          </cell>
          <cell r="M191">
            <v>12169.860687022894</v>
          </cell>
          <cell r="N191">
            <v>22381.49508932918</v>
          </cell>
          <cell r="O191">
            <v>0.48841233146381186</v>
          </cell>
          <cell r="Q191" t="str">
            <v>Y</v>
          </cell>
          <cell r="R191">
            <v>0.30354460766261576</v>
          </cell>
          <cell r="S191">
            <v>13909.931646139366</v>
          </cell>
          <cell r="U191">
            <v>5.707483525695174</v>
          </cell>
        </row>
        <row r="192">
          <cell r="A192" t="str">
            <v>Laurel Lane Primary</v>
          </cell>
          <cell r="B192" t="str">
            <v>School</v>
          </cell>
          <cell r="D192">
            <v>8970</v>
          </cell>
          <cell r="E192">
            <v>6240</v>
          </cell>
          <cell r="F192">
            <v>5940</v>
          </cell>
          <cell r="G192">
            <v>21150</v>
          </cell>
          <cell r="I192">
            <v>4.915526586568746</v>
          </cell>
          <cell r="J192">
            <v>103963.38730592899</v>
          </cell>
          <cell r="L192">
            <v>0.3195945945945945</v>
          </cell>
          <cell r="M192">
            <v>6759.425675675673</v>
          </cell>
          <cell r="N192">
            <v>12431.206606016593</v>
          </cell>
          <cell r="O192">
            <v>0.5877639057218247</v>
          </cell>
          <cell r="Q192" t="str">
            <v>Y</v>
          </cell>
          <cell r="R192">
            <v>0.30354460766261576</v>
          </cell>
          <cell r="S192">
            <v>6419.968452064323</v>
          </cell>
          <cell r="U192">
            <v>5.806835099953187</v>
          </cell>
        </row>
        <row r="193">
          <cell r="A193" t="str">
            <v>Mcmillan Nursery</v>
          </cell>
          <cell r="B193" t="str">
            <v>School</v>
          </cell>
          <cell r="D193">
            <v>23595</v>
          </cell>
          <cell r="E193">
            <v>17160</v>
          </cell>
          <cell r="F193">
            <v>19080</v>
          </cell>
          <cell r="G193">
            <v>59835</v>
          </cell>
          <cell r="I193">
            <v>4.915526586568746</v>
          </cell>
          <cell r="J193">
            <v>294120.5333073409</v>
          </cell>
          <cell r="L193">
            <v>0.28755813953488374</v>
          </cell>
          <cell r="M193">
            <v>17206.04127906977</v>
          </cell>
          <cell r="N193">
            <v>31643.49521313224</v>
          </cell>
          <cell r="O193">
            <v>0.5288459131466907</v>
          </cell>
          <cell r="Q193" t="str">
            <v>Y</v>
          </cell>
          <cell r="R193">
            <v>0.30354460766261576</v>
          </cell>
          <cell r="S193">
            <v>18162.591599492614</v>
          </cell>
          <cell r="U193">
            <v>5.747917107378052</v>
          </cell>
        </row>
        <row r="194">
          <cell r="A194" t="str">
            <v>Minet Infant</v>
          </cell>
          <cell r="B194" t="str">
            <v>School</v>
          </cell>
          <cell r="D194">
            <v>22425</v>
          </cell>
          <cell r="E194">
            <v>18720</v>
          </cell>
          <cell r="F194">
            <v>20700</v>
          </cell>
          <cell r="G194">
            <v>61845</v>
          </cell>
          <cell r="I194">
            <v>4.915526586568746</v>
          </cell>
          <cell r="J194">
            <v>304000.74174634414</v>
          </cell>
          <cell r="L194">
            <v>0.2877439024390247</v>
          </cell>
          <cell r="M194">
            <v>17795.521646341484</v>
          </cell>
          <cell r="N194">
            <v>32727.60392108289</v>
          </cell>
          <cell r="O194">
            <v>0.5291875482429119</v>
          </cell>
          <cell r="Q194" t="str">
            <v>Y</v>
          </cell>
          <cell r="R194">
            <v>0.30354460766261576</v>
          </cell>
          <cell r="S194">
            <v>18772.71626089447</v>
          </cell>
          <cell r="U194">
            <v>5.748258742474274</v>
          </cell>
        </row>
        <row r="195">
          <cell r="A195" t="str">
            <v>Newnham Infant</v>
          </cell>
          <cell r="B195" t="str">
            <v>School</v>
          </cell>
          <cell r="D195">
            <v>13455</v>
          </cell>
          <cell r="E195">
            <v>11895</v>
          </cell>
          <cell r="F195">
            <v>12060</v>
          </cell>
          <cell r="G195">
            <v>37410</v>
          </cell>
          <cell r="I195">
            <v>4.915526586568746</v>
          </cell>
          <cell r="J195">
            <v>183889.8496035368</v>
          </cell>
          <cell r="L195">
            <v>0.10473214285714282</v>
          </cell>
          <cell r="M195">
            <v>3918.029464285713</v>
          </cell>
          <cell r="N195">
            <v>7205.617177546311</v>
          </cell>
          <cell r="O195">
            <v>0.1926120603460655</v>
          </cell>
          <cell r="Q195" t="str">
            <v>N</v>
          </cell>
          <cell r="R195">
            <v>0</v>
          </cell>
          <cell r="S195">
            <v>0</v>
          </cell>
          <cell r="U195">
            <v>5.108138646914812</v>
          </cell>
        </row>
        <row r="196">
          <cell r="A196" t="str">
            <v>Oak Farm Infant</v>
          </cell>
          <cell r="B196" t="str">
            <v>School</v>
          </cell>
          <cell r="D196">
            <v>16575</v>
          </cell>
          <cell r="E196">
            <v>14430</v>
          </cell>
          <cell r="F196">
            <v>14940</v>
          </cell>
          <cell r="G196">
            <v>45945</v>
          </cell>
          <cell r="I196">
            <v>4.915526586568746</v>
          </cell>
          <cell r="J196">
            <v>225843.86901990106</v>
          </cell>
          <cell r="L196">
            <v>0.16347457627118658</v>
          </cell>
          <cell r="M196">
            <v>7510.839406779668</v>
          </cell>
          <cell r="N196">
            <v>13813.125689995251</v>
          </cell>
          <cell r="O196">
            <v>0.30064480770476115</v>
          </cell>
          <cell r="Q196" t="str">
            <v>N</v>
          </cell>
          <cell r="R196">
            <v>0</v>
          </cell>
          <cell r="S196">
            <v>0</v>
          </cell>
          <cell r="U196">
            <v>5.216171394273507</v>
          </cell>
        </row>
        <row r="197">
          <cell r="A197" t="str">
            <v>Pinkwell Primary</v>
          </cell>
          <cell r="B197" t="str">
            <v>School</v>
          </cell>
          <cell r="D197">
            <v>19890</v>
          </cell>
          <cell r="E197">
            <v>12285</v>
          </cell>
          <cell r="F197">
            <v>15480</v>
          </cell>
          <cell r="G197">
            <v>47655</v>
          </cell>
          <cell r="I197">
            <v>4.915526586568746</v>
          </cell>
          <cell r="J197">
            <v>234249.41948293362</v>
          </cell>
          <cell r="L197">
            <v>0.2378813559322033</v>
          </cell>
          <cell r="M197">
            <v>11336.236016949148</v>
          </cell>
          <cell r="N197">
            <v>20848.382513973687</v>
          </cell>
          <cell r="O197">
            <v>0.43748573106649224</v>
          </cell>
          <cell r="Q197" t="str">
            <v>N</v>
          </cell>
          <cell r="R197">
            <v>0</v>
          </cell>
          <cell r="S197">
            <v>0</v>
          </cell>
          <cell r="U197">
            <v>5.353012317635239</v>
          </cell>
        </row>
        <row r="198">
          <cell r="A198" t="str">
            <v>Rabbsfarm Primary</v>
          </cell>
          <cell r="B198" t="str">
            <v>School</v>
          </cell>
          <cell r="D198">
            <v>13650</v>
          </cell>
          <cell r="E198">
            <v>8580</v>
          </cell>
          <cell r="F198">
            <v>10080</v>
          </cell>
          <cell r="G198">
            <v>32310</v>
          </cell>
          <cell r="I198">
            <v>4.915526586568746</v>
          </cell>
          <cell r="J198">
            <v>158820.6640120362</v>
          </cell>
          <cell r="L198">
            <v>0.28319587628865955</v>
          </cell>
          <cell r="M198">
            <v>9150.05876288659</v>
          </cell>
          <cell r="N198">
            <v>16827.8011174767</v>
          </cell>
          <cell r="O198">
            <v>0.520823309114104</v>
          </cell>
          <cell r="Q198" t="str">
            <v>Y</v>
          </cell>
          <cell r="R198">
            <v>0.30354460766261576</v>
          </cell>
          <cell r="S198">
            <v>9807.526273579115</v>
          </cell>
          <cell r="U198">
            <v>5.739894503345466</v>
          </cell>
        </row>
        <row r="199">
          <cell r="A199" t="str">
            <v>Rosedale College</v>
          </cell>
          <cell r="B199" t="str">
            <v>School</v>
          </cell>
          <cell r="D199">
            <v>7410</v>
          </cell>
          <cell r="E199">
            <v>5265</v>
          </cell>
          <cell r="F199">
            <v>6480</v>
          </cell>
          <cell r="G199">
            <v>19155</v>
          </cell>
          <cell r="I199">
            <v>4.915526586568746</v>
          </cell>
          <cell r="J199">
            <v>94156.91176572433</v>
          </cell>
          <cell r="L199">
            <v>0.26816666666666655</v>
          </cell>
          <cell r="M199">
            <v>5136.732499999998</v>
          </cell>
          <cell r="N199">
            <v>9446.924347009272</v>
          </cell>
          <cell r="O199">
            <v>0.4931832078835433</v>
          </cell>
          <cell r="Q199" t="str">
            <v>Y</v>
          </cell>
          <cell r="R199">
            <v>0.30354460766261576</v>
          </cell>
          <cell r="S199">
            <v>5814.396959777405</v>
          </cell>
          <cell r="U199">
            <v>5.7122544021149055</v>
          </cell>
        </row>
        <row r="200">
          <cell r="A200" t="str">
            <v>Ruislip Gardens Primary</v>
          </cell>
          <cell r="B200" t="str">
            <v>School</v>
          </cell>
          <cell r="D200">
            <v>12675</v>
          </cell>
          <cell r="E200">
            <v>8580</v>
          </cell>
          <cell r="F200">
            <v>10440</v>
          </cell>
          <cell r="G200">
            <v>31695</v>
          </cell>
          <cell r="I200">
            <v>4.915526586568746</v>
          </cell>
          <cell r="J200">
            <v>155797.61516129642</v>
          </cell>
          <cell r="L200">
            <v>0.1693243243243244</v>
          </cell>
          <cell r="M200">
            <v>5366.7344594594615</v>
          </cell>
          <cell r="N200">
            <v>9869.919141983983</v>
          </cell>
          <cell r="O200">
            <v>0.3114030333486033</v>
          </cell>
          <cell r="Q200" t="str">
            <v>N</v>
          </cell>
          <cell r="R200">
            <v>0</v>
          </cell>
          <cell r="S200">
            <v>0</v>
          </cell>
          <cell r="U200">
            <v>5.22692961991735</v>
          </cell>
        </row>
        <row r="201">
          <cell r="A201" t="str">
            <v>Ryefield Primary</v>
          </cell>
          <cell r="B201" t="str">
            <v>School</v>
          </cell>
          <cell r="D201">
            <v>10140</v>
          </cell>
          <cell r="E201">
            <v>7995</v>
          </cell>
          <cell r="F201">
            <v>9180</v>
          </cell>
          <cell r="G201">
            <v>27315</v>
          </cell>
          <cell r="I201">
            <v>4.915526586568746</v>
          </cell>
          <cell r="J201">
            <v>134267.6087121253</v>
          </cell>
          <cell r="L201">
            <v>0.19461538461538463</v>
          </cell>
          <cell r="M201">
            <v>5315.919230769231</v>
          </cell>
          <cell r="N201">
            <v>9776.465254495666</v>
          </cell>
          <cell r="O201">
            <v>0.3579156234484959</v>
          </cell>
          <cell r="Q201" t="str">
            <v>N</v>
          </cell>
          <cell r="R201">
            <v>0</v>
          </cell>
          <cell r="S201">
            <v>0</v>
          </cell>
          <cell r="U201">
            <v>5.273442210017242</v>
          </cell>
        </row>
        <row r="202">
          <cell r="A202" t="str">
            <v>Sacred Heart RC Primary</v>
          </cell>
          <cell r="B202" t="str">
            <v>School</v>
          </cell>
          <cell r="D202">
            <v>11310</v>
          </cell>
          <cell r="E202">
            <v>11310</v>
          </cell>
          <cell r="F202">
            <v>10440</v>
          </cell>
          <cell r="G202">
            <v>33060</v>
          </cell>
          <cell r="I202">
            <v>4.915526586568746</v>
          </cell>
          <cell r="J202">
            <v>162507.30895196274</v>
          </cell>
          <cell r="L202">
            <v>0.1250467289719626</v>
          </cell>
          <cell r="M202">
            <v>4134.044859813083</v>
          </cell>
          <cell r="N202">
            <v>7602.889392779702</v>
          </cell>
          <cell r="O202">
            <v>0.22997245592195104</v>
          </cell>
          <cell r="Q202" t="str">
            <v>N</v>
          </cell>
          <cell r="R202">
            <v>0</v>
          </cell>
          <cell r="S202">
            <v>0</v>
          </cell>
          <cell r="U202">
            <v>5.145499042490697</v>
          </cell>
        </row>
        <row r="203">
          <cell r="A203" t="str">
            <v>St Andrew's CE Primary</v>
          </cell>
          <cell r="B203" t="str">
            <v>School</v>
          </cell>
          <cell r="D203">
            <v>4290</v>
          </cell>
          <cell r="E203">
            <v>1560</v>
          </cell>
          <cell r="F203">
            <v>2700</v>
          </cell>
          <cell r="G203">
            <v>8550</v>
          </cell>
          <cell r="I203">
            <v>4.915526586568746</v>
          </cell>
          <cell r="J203">
            <v>42027.75231516278</v>
          </cell>
          <cell r="L203">
            <v>0.25458333333333333</v>
          </cell>
          <cell r="M203">
            <v>2176.6875</v>
          </cell>
          <cell r="N203">
            <v>4003.1288644251476</v>
          </cell>
          <cell r="O203">
            <v>0.46820220636551435</v>
          </cell>
          <cell r="Q203" t="str">
            <v>Y</v>
          </cell>
          <cell r="R203">
            <v>0.30354460766261576</v>
          </cell>
          <cell r="S203">
            <v>2595.306395515365</v>
          </cell>
          <cell r="U203">
            <v>5.687273400596877</v>
          </cell>
        </row>
        <row r="204">
          <cell r="A204" t="str">
            <v>St Bernadette's RC Primary</v>
          </cell>
          <cell r="B204" t="str">
            <v>School</v>
          </cell>
          <cell r="D204">
            <v>10335</v>
          </cell>
          <cell r="E204">
            <v>9555</v>
          </cell>
          <cell r="F204">
            <v>8460</v>
          </cell>
          <cell r="G204">
            <v>28350</v>
          </cell>
          <cell r="I204">
            <v>4.915526586568746</v>
          </cell>
          <cell r="J204">
            <v>139355.17872922396</v>
          </cell>
          <cell r="L204">
            <v>0.22048192771084338</v>
          </cell>
          <cell r="M204">
            <v>6250.6626506024095</v>
          </cell>
          <cell r="N204">
            <v>11495.544527365873</v>
          </cell>
          <cell r="O204">
            <v>0.40548657944853167</v>
          </cell>
          <cell r="Q204" t="str">
            <v>N</v>
          </cell>
          <cell r="R204">
            <v>0</v>
          </cell>
          <cell r="S204">
            <v>0</v>
          </cell>
          <cell r="U204">
            <v>5.321013166017278</v>
          </cell>
        </row>
        <row r="205">
          <cell r="A205" t="str">
            <v>St Catherine's RC Primary</v>
          </cell>
          <cell r="B205" t="str">
            <v>School</v>
          </cell>
          <cell r="D205">
            <v>6630</v>
          </cell>
          <cell r="E205">
            <v>5655</v>
          </cell>
          <cell r="F205">
            <v>6120</v>
          </cell>
          <cell r="G205">
            <v>18405</v>
          </cell>
          <cell r="I205">
            <v>4.915526586568746</v>
          </cell>
          <cell r="J205">
            <v>90470.26682579778</v>
          </cell>
          <cell r="L205">
            <v>0.31627906976744175</v>
          </cell>
          <cell r="M205">
            <v>5821.116279069765</v>
          </cell>
          <cell r="N205">
            <v>10705.569173305443</v>
          </cell>
          <cell r="O205">
            <v>0.581666350084512</v>
          </cell>
          <cell r="Q205" t="str">
            <v>Y</v>
          </cell>
          <cell r="R205">
            <v>0.30354460766261576</v>
          </cell>
          <cell r="S205">
            <v>5586.738504030443</v>
          </cell>
          <cell r="U205">
            <v>5.800737544315874</v>
          </cell>
        </row>
        <row r="206">
          <cell r="A206" t="str">
            <v>St Martins</v>
          </cell>
          <cell r="B206" t="str">
            <v>School</v>
          </cell>
          <cell r="D206">
            <v>3705</v>
          </cell>
          <cell r="E206">
            <v>4485</v>
          </cell>
          <cell r="F206">
            <v>3420</v>
          </cell>
          <cell r="G206">
            <v>11610</v>
          </cell>
          <cell r="I206">
            <v>4.915526586568746</v>
          </cell>
          <cell r="J206">
            <v>57069.26367006314</v>
          </cell>
          <cell r="L206">
            <v>0.30459999999999987</v>
          </cell>
          <cell r="M206">
            <v>3536.4059999999986</v>
          </cell>
          <cell r="N206">
            <v>6503.77646535218</v>
          </cell>
          <cell r="O206">
            <v>0.56018746471595</v>
          </cell>
          <cell r="Q206" t="str">
            <v>Y</v>
          </cell>
          <cell r="R206">
            <v>0.30354460766261576</v>
          </cell>
          <cell r="S206">
            <v>3524.152894962969</v>
          </cell>
          <cell r="U206">
            <v>5.779258658947312</v>
          </cell>
        </row>
        <row r="207">
          <cell r="A207" t="str">
            <v>St Mary's RC Primary</v>
          </cell>
          <cell r="B207" t="str">
            <v>School</v>
          </cell>
          <cell r="D207">
            <v>8385</v>
          </cell>
          <cell r="E207">
            <v>4485</v>
          </cell>
          <cell r="F207">
            <v>5760</v>
          </cell>
          <cell r="G207">
            <v>18630</v>
          </cell>
          <cell r="I207">
            <v>4.915526586568746</v>
          </cell>
          <cell r="J207">
            <v>91576.26030777574</v>
          </cell>
          <cell r="L207">
            <v>0.21921052631578952</v>
          </cell>
          <cell r="M207">
            <v>4083.892105263159</v>
          </cell>
          <cell r="N207">
            <v>7510.653856273321</v>
          </cell>
          <cell r="O207">
            <v>0.40314835514081165</v>
          </cell>
          <cell r="Q207" t="str">
            <v>N</v>
          </cell>
          <cell r="R207">
            <v>0</v>
          </cell>
          <cell r="S207">
            <v>0</v>
          </cell>
          <cell r="U207">
            <v>5.318674941709558</v>
          </cell>
        </row>
        <row r="208">
          <cell r="A208" t="str">
            <v>St Matthew's CE Primary</v>
          </cell>
          <cell r="B208" t="str">
            <v>School</v>
          </cell>
          <cell r="D208">
            <v>8970</v>
          </cell>
          <cell r="E208">
            <v>9555</v>
          </cell>
          <cell r="F208">
            <v>8640</v>
          </cell>
          <cell r="G208">
            <v>27165</v>
          </cell>
          <cell r="I208">
            <v>4.915526586568746</v>
          </cell>
          <cell r="J208">
            <v>133530.27972413998</v>
          </cell>
          <cell r="L208">
            <v>0.2820270270270269</v>
          </cell>
          <cell r="M208">
            <v>7661.264189189186</v>
          </cell>
          <cell r="N208">
            <v>14089.770724428727</v>
          </cell>
          <cell r="O208">
            <v>0.5186736876285193</v>
          </cell>
          <cell r="Q208" t="str">
            <v>Y</v>
          </cell>
          <cell r="R208">
            <v>0.30354460766261576</v>
          </cell>
          <cell r="S208">
            <v>8245.789267154958</v>
          </cell>
          <cell r="U208">
            <v>5.737744881859881</v>
          </cell>
        </row>
        <row r="209">
          <cell r="A209" t="str">
            <v>St Swithun Wells RC Primary</v>
          </cell>
          <cell r="B209" t="str">
            <v>School</v>
          </cell>
          <cell r="D209">
            <v>3900</v>
          </cell>
          <cell r="E209">
            <v>3900</v>
          </cell>
          <cell r="F209">
            <v>3600</v>
          </cell>
          <cell r="G209">
            <v>11400</v>
          </cell>
          <cell r="I209">
            <v>4.915526586568746</v>
          </cell>
          <cell r="J209">
            <v>56037.003086883706</v>
          </cell>
          <cell r="L209">
            <v>0.14864864864864868</v>
          </cell>
          <cell r="M209">
            <v>1694.594594594595</v>
          </cell>
          <cell r="N209">
            <v>3116.515593129677</v>
          </cell>
          <cell r="O209">
            <v>0.2733785608008489</v>
          </cell>
          <cell r="Q209" t="str">
            <v>N</v>
          </cell>
          <cell r="R209">
            <v>0</v>
          </cell>
          <cell r="S209">
            <v>0</v>
          </cell>
          <cell r="U209">
            <v>5.188905147369595</v>
          </cell>
        </row>
        <row r="210">
          <cell r="A210" t="str">
            <v>Warrender Primary</v>
          </cell>
          <cell r="B210" t="str">
            <v>School</v>
          </cell>
          <cell r="D210">
            <v>7605</v>
          </cell>
          <cell r="E210">
            <v>5070</v>
          </cell>
          <cell r="F210">
            <v>5580</v>
          </cell>
          <cell r="G210">
            <v>18255</v>
          </cell>
          <cell r="I210">
            <v>4.915526586568746</v>
          </cell>
          <cell r="J210">
            <v>89732.93783781247</v>
          </cell>
          <cell r="L210">
            <v>0.10300000000000001</v>
          </cell>
          <cell r="M210">
            <v>1880.265</v>
          </cell>
          <cell r="N210">
            <v>3457.980575653763</v>
          </cell>
          <cell r="O210">
            <v>0.1894264900385518</v>
          </cell>
          <cell r="Q210" t="str">
            <v>N</v>
          </cell>
          <cell r="R210">
            <v>0</v>
          </cell>
          <cell r="S210">
            <v>0</v>
          </cell>
          <cell r="U210">
            <v>5.104953076607298</v>
          </cell>
        </row>
        <row r="211">
          <cell r="A211" t="str">
            <v>West Drayton Primary</v>
          </cell>
          <cell r="B211" t="str">
            <v>School</v>
          </cell>
          <cell r="D211">
            <v>11700</v>
          </cell>
          <cell r="E211">
            <v>11310</v>
          </cell>
          <cell r="F211">
            <v>10620</v>
          </cell>
          <cell r="G211">
            <v>33630</v>
          </cell>
          <cell r="I211">
            <v>4.915526586568746</v>
          </cell>
          <cell r="J211">
            <v>165309.15910630694</v>
          </cell>
          <cell r="L211">
            <v>0.2973737373737374</v>
          </cell>
          <cell r="M211">
            <v>10000.678787878789</v>
          </cell>
          <cell r="N211">
            <v>18392.169716416287</v>
          </cell>
          <cell r="O211">
            <v>0.5468977019451765</v>
          </cell>
          <cell r="Q211" t="str">
            <v>Y</v>
          </cell>
          <cell r="R211">
            <v>0.30354460766261576</v>
          </cell>
          <cell r="S211">
            <v>10208.205155693768</v>
          </cell>
          <cell r="U211">
            <v>5.765968896176538</v>
          </cell>
        </row>
        <row r="212">
          <cell r="A212" t="str">
            <v>Whitehall Infant</v>
          </cell>
          <cell r="B212" t="str">
            <v>School</v>
          </cell>
          <cell r="D212">
            <v>15210</v>
          </cell>
          <cell r="E212">
            <v>11310</v>
          </cell>
          <cell r="F212">
            <v>10080</v>
          </cell>
          <cell r="G212">
            <v>36600</v>
          </cell>
          <cell r="I212">
            <v>4.915526586568746</v>
          </cell>
          <cell r="J212">
            <v>179908.2730684161</v>
          </cell>
          <cell r="L212">
            <v>0.22897196261682223</v>
          </cell>
          <cell r="M212">
            <v>8380.373831775694</v>
          </cell>
          <cell r="N212">
            <v>15412.279613244647</v>
          </cell>
          <cell r="O212">
            <v>0.42110053588100127</v>
          </cell>
          <cell r="Q212" t="str">
            <v>N</v>
          </cell>
          <cell r="R212">
            <v>0</v>
          </cell>
          <cell r="S212">
            <v>0</v>
          </cell>
          <cell r="U212">
            <v>5.336627122449747</v>
          </cell>
        </row>
        <row r="213">
          <cell r="A213" t="str">
            <v>Whiteheath Infant</v>
          </cell>
          <cell r="B213" t="str">
            <v>School</v>
          </cell>
          <cell r="D213">
            <v>12090</v>
          </cell>
          <cell r="E213">
            <v>10140</v>
          </cell>
          <cell r="F213">
            <v>9540</v>
          </cell>
          <cell r="G213">
            <v>31770</v>
          </cell>
          <cell r="I213">
            <v>4.915526586568746</v>
          </cell>
          <cell r="J213">
            <v>156166.27965528908</v>
          </cell>
          <cell r="L213">
            <v>0.13483870967741932</v>
          </cell>
          <cell r="M213">
            <v>4283.825806451611</v>
          </cell>
          <cell r="N213">
            <v>7878.350353909682</v>
          </cell>
          <cell r="O213">
            <v>0.2479808106361247</v>
          </cell>
          <cell r="Q213" t="str">
            <v>N</v>
          </cell>
          <cell r="R213">
            <v>0</v>
          </cell>
          <cell r="S213">
            <v>0</v>
          </cell>
          <cell r="U213">
            <v>5.163507397204871</v>
          </cell>
        </row>
        <row r="214">
          <cell r="A214" t="str">
            <v>William Byrd Primary</v>
          </cell>
          <cell r="B214" t="str">
            <v>School</v>
          </cell>
          <cell r="D214">
            <v>12675</v>
          </cell>
          <cell r="E214">
            <v>9555</v>
          </cell>
          <cell r="F214">
            <v>11520</v>
          </cell>
          <cell r="G214">
            <v>33750</v>
          </cell>
          <cell r="I214">
            <v>4.915526586568746</v>
          </cell>
          <cell r="J214">
            <v>165899.02229669518</v>
          </cell>
          <cell r="L214">
            <v>0.238876404494382</v>
          </cell>
          <cell r="M214">
            <v>8062.078651685392</v>
          </cell>
          <cell r="N214">
            <v>14826.905450519456</v>
          </cell>
          <cell r="O214">
            <v>0.43931571705242833</v>
          </cell>
          <cell r="Q214" t="str">
            <v>N</v>
          </cell>
          <cell r="R214">
            <v>0</v>
          </cell>
          <cell r="S214">
            <v>0</v>
          </cell>
          <cell r="U214">
            <v>5.354842303621175</v>
          </cell>
        </row>
        <row r="215">
          <cell r="A215" t="str">
            <v>Wood End Park</v>
          </cell>
          <cell r="B215" t="str">
            <v>School</v>
          </cell>
          <cell r="D215">
            <v>11700</v>
          </cell>
          <cell r="E215">
            <v>9555</v>
          </cell>
          <cell r="F215">
            <v>10620</v>
          </cell>
          <cell r="G215">
            <v>31875</v>
          </cell>
          <cell r="I215">
            <v>4.915526586568746</v>
          </cell>
          <cell r="J215">
            <v>156682.4099468788</v>
          </cell>
          <cell r="L215">
            <v>0.27410071942446035</v>
          </cell>
          <cell r="M215">
            <v>8736.960431654674</v>
          </cell>
          <cell r="N215">
            <v>16068.075224990827</v>
          </cell>
          <cell r="O215">
            <v>0.504096477646771</v>
          </cell>
          <cell r="Q215" t="str">
            <v>Y</v>
          </cell>
          <cell r="R215">
            <v>0.30354460766261576</v>
          </cell>
          <cell r="S215">
            <v>9675.484369245878</v>
          </cell>
          <cell r="U215">
            <v>5.723167671878133</v>
          </cell>
        </row>
        <row r="216">
          <cell r="A216" t="str">
            <v>Yeading Infant</v>
          </cell>
          <cell r="B216" t="str">
            <v>School</v>
          </cell>
          <cell r="D216">
            <v>23400</v>
          </cell>
          <cell r="E216">
            <v>22230</v>
          </cell>
          <cell r="F216">
            <v>10620</v>
          </cell>
          <cell r="G216">
            <v>56250</v>
          </cell>
          <cell r="I216">
            <v>4.915526586568746</v>
          </cell>
          <cell r="J216">
            <v>276498.370494492</v>
          </cell>
          <cell r="L216">
            <v>0.25147368421052657</v>
          </cell>
          <cell r="M216">
            <v>14145.39473684212</v>
          </cell>
          <cell r="N216">
            <v>26014.68422533793</v>
          </cell>
          <cell r="O216">
            <v>0.46248327511711873</v>
          </cell>
          <cell r="Q216" t="str">
            <v>Y</v>
          </cell>
          <cell r="R216">
            <v>0.30354460766261576</v>
          </cell>
          <cell r="S216">
            <v>17074.38418102214</v>
          </cell>
          <cell r="U216">
            <v>5.681554469348481</v>
          </cell>
        </row>
        <row r="217">
          <cell r="A217" t="str">
            <v>School Total</v>
          </cell>
          <cell r="D217">
            <v>703560</v>
          </cell>
          <cell r="E217">
            <v>576420</v>
          </cell>
          <cell r="F217">
            <v>597960</v>
          </cell>
        </row>
        <row r="219">
          <cell r="A219" t="str">
            <v>Grand Total</v>
          </cell>
          <cell r="D219">
            <v>1206145.5</v>
          </cell>
          <cell r="E219">
            <v>892526</v>
          </cell>
          <cell r="F219">
            <v>991158</v>
          </cell>
          <cell r="G219">
            <v>3090009.5</v>
          </cell>
          <cell r="J219">
            <v>15189023.85</v>
          </cell>
          <cell r="N219">
            <v>1168386.4499999997</v>
          </cell>
          <cell r="S219">
            <v>333824.7</v>
          </cell>
        </row>
        <row r="220">
          <cell r="A220" t="str">
            <v>Check total</v>
          </cell>
          <cell r="J220">
            <v>15189023.85</v>
          </cell>
          <cell r="N220">
            <v>1168386.4500000002</v>
          </cell>
          <cell r="S220">
            <v>333824.7</v>
          </cell>
        </row>
        <row r="224">
          <cell r="O224">
            <v>0.35302565387813806</v>
          </cell>
          <cell r="R224">
            <v>0.09032302959716859</v>
          </cell>
          <cell r="U224">
            <v>5.358875270044051</v>
          </cell>
        </row>
        <row r="225">
          <cell r="O225">
            <v>0.6712686297482661</v>
          </cell>
          <cell r="R225">
            <v>0.30354460766261576</v>
          </cell>
          <cell r="U225">
            <v>5.8903398239796285</v>
          </cell>
        </row>
        <row r="226">
          <cell r="J226">
            <v>5.401677567657964</v>
          </cell>
          <cell r="O226">
            <v>0</v>
          </cell>
          <cell r="R226">
            <v>0</v>
          </cell>
          <cell r="U226">
            <v>4.915526586568746</v>
          </cell>
        </row>
      </sheetData>
      <sheetData sheetId="5">
        <row r="568">
          <cell r="A568" t="str">
            <v>4 Street Nursery - 857 - Day nursery</v>
          </cell>
          <cell r="B568">
            <v>1560</v>
          </cell>
          <cell r="C568">
            <v>2368</v>
          </cell>
        </row>
        <row r="569">
          <cell r="A569" t="str">
            <v>Ahmed, Ayan Yusuf - 3823 - Childminder</v>
          </cell>
          <cell r="B569">
            <v>0</v>
          </cell>
          <cell r="C569">
            <v>0</v>
          </cell>
        </row>
        <row r="570">
          <cell r="A570" t="str">
            <v>Akpanuwa, Idongesit Joseph - 3029 - Childminder</v>
          </cell>
          <cell r="B570">
            <v>975</v>
          </cell>
          <cell r="C570">
            <v>0</v>
          </cell>
        </row>
        <row r="571">
          <cell r="A571" t="str">
            <v>Alexandra Jane Jukes - 2261 - Childminder</v>
          </cell>
          <cell r="B571">
            <v>195</v>
          </cell>
          <cell r="C571">
            <v>585</v>
          </cell>
        </row>
        <row r="572">
          <cell r="A572" t="str">
            <v>Alison Jean Southby - 749 - Childminder</v>
          </cell>
          <cell r="B572">
            <v>0</v>
          </cell>
          <cell r="C572">
            <v>0</v>
          </cell>
        </row>
        <row r="573">
          <cell r="A573" t="str">
            <v>Amanda Jane Hopson - 570 - Childminder</v>
          </cell>
          <cell r="B573">
            <v>0</v>
          </cell>
          <cell r="C573">
            <v>0</v>
          </cell>
        </row>
        <row r="574">
          <cell r="A574" t="str">
            <v>Amanda Mary Whiter - 2219 - Childminder</v>
          </cell>
          <cell r="B574">
            <v>780</v>
          </cell>
          <cell r="C574">
            <v>780</v>
          </cell>
        </row>
        <row r="575">
          <cell r="A575" t="str">
            <v>Amy Suzanne Murray - 3028 - Childminder</v>
          </cell>
          <cell r="B575">
            <v>0</v>
          </cell>
          <cell r="C575">
            <v>0</v>
          </cell>
        </row>
        <row r="576">
          <cell r="A576" t="str">
            <v>Ann Atkins - 3033 - Childminder</v>
          </cell>
          <cell r="B576">
            <v>0</v>
          </cell>
          <cell r="C576">
            <v>0</v>
          </cell>
        </row>
        <row r="577">
          <cell r="A577" t="str">
            <v>Anna Jane Hibbs - 596 - Childminder</v>
          </cell>
          <cell r="B577">
            <v>0</v>
          </cell>
          <cell r="C577">
            <v>0</v>
          </cell>
        </row>
        <row r="578">
          <cell r="A578" t="str">
            <v>Anne Smith - 2151 - Childminder</v>
          </cell>
          <cell r="B578">
            <v>0</v>
          </cell>
          <cell r="C578">
            <v>0</v>
          </cell>
        </row>
        <row r="579">
          <cell r="A579" t="str">
            <v>Anytown Nursery - 2156 - Day nursery</v>
          </cell>
          <cell r="B579">
            <v>0</v>
          </cell>
          <cell r="C579">
            <v>0</v>
          </cell>
        </row>
        <row r="580">
          <cell r="A580" t="str">
            <v>Anytown Nursery - 2170 - Day nursery</v>
          </cell>
          <cell r="B580">
            <v>0</v>
          </cell>
          <cell r="C580">
            <v>0</v>
          </cell>
        </row>
        <row r="581">
          <cell r="A581" t="str">
            <v>Ayse Dibb-Fuller - 633 - Childminder</v>
          </cell>
          <cell r="B581">
            <v>0</v>
          </cell>
          <cell r="C581">
            <v>0</v>
          </cell>
        </row>
        <row r="582">
          <cell r="A582" t="str">
            <v>Azra Parveen - 624 - Childminder</v>
          </cell>
          <cell r="B582">
            <v>195</v>
          </cell>
          <cell r="C582">
            <v>1040</v>
          </cell>
        </row>
        <row r="583">
          <cell r="A583" t="str">
            <v>Bhattacharjee, Soma - 2984 - Childminder</v>
          </cell>
          <cell r="B583">
            <v>0</v>
          </cell>
          <cell r="C583">
            <v>0</v>
          </cell>
        </row>
        <row r="584">
          <cell r="A584" t="str">
            <v>Bishop Winnington-Ingram Church Of England Primary School - Extended Hours - 3867 - Schools - Extended Hours</v>
          </cell>
          <cell r="B584">
            <v>0</v>
          </cell>
          <cell r="C584">
            <v>0</v>
          </cell>
        </row>
        <row r="585">
          <cell r="A585" t="str">
            <v>Blue House Daycare - 3698 - Day nursery</v>
          </cell>
          <cell r="B585">
            <v>570</v>
          </cell>
          <cell r="C585">
            <v>195</v>
          </cell>
        </row>
        <row r="586">
          <cell r="A586" t="str">
            <v>Breakspear School - Extended Hours - 3852 - Schools - Extended Hours</v>
          </cell>
          <cell r="B586">
            <v>0</v>
          </cell>
          <cell r="C586">
            <v>4875</v>
          </cell>
        </row>
        <row r="587">
          <cell r="A587" t="str">
            <v>Bright Horizons at RAF Northolt - 2201 - Day nursery</v>
          </cell>
          <cell r="B587">
            <v>4509</v>
          </cell>
          <cell r="C587">
            <v>1896</v>
          </cell>
        </row>
        <row r="588">
          <cell r="A588" t="str">
            <v>Bright Spark Montessori - 2103 - Day nursery</v>
          </cell>
          <cell r="B588">
            <v>0</v>
          </cell>
          <cell r="C588">
            <v>0</v>
          </cell>
        </row>
        <row r="589">
          <cell r="A589" t="str">
            <v>Busy Bees Day Nursery at Heathrow - 839 - Day nursery</v>
          </cell>
          <cell r="B589">
            <v>4992</v>
          </cell>
          <cell r="C589">
            <v>0</v>
          </cell>
        </row>
        <row r="590">
          <cell r="A590" t="str">
            <v>Busy Bees Day Nursery at Hillingdon - 2204 - Day nursery</v>
          </cell>
          <cell r="B590">
            <v>7870</v>
          </cell>
          <cell r="C590">
            <v>3770</v>
          </cell>
        </row>
        <row r="591">
          <cell r="A591" t="str">
            <v>Butterflies Preschool - 3655 - Pre-School Playgroup</v>
          </cell>
          <cell r="B591">
            <v>195</v>
          </cell>
          <cell r="C591">
            <v>0</v>
          </cell>
        </row>
        <row r="592">
          <cell r="A592" t="str">
            <v>Butterflies Preschool - Cowley - 3493 - Pre-School Playgroup</v>
          </cell>
          <cell r="B592">
            <v>1335</v>
          </cell>
          <cell r="C592">
            <v>0</v>
          </cell>
        </row>
        <row r="593">
          <cell r="A593" t="str">
            <v>Celestina Owusu-Agyare - 338 - Childminder</v>
          </cell>
          <cell r="B593">
            <v>0</v>
          </cell>
          <cell r="C593">
            <v>0</v>
          </cell>
        </row>
        <row r="594">
          <cell r="A594" t="str">
            <v>Charville Primary School - Extended Hours - 3853 - Day nursery</v>
          </cell>
          <cell r="B594">
            <v>0</v>
          </cell>
          <cell r="C594">
            <v>1950</v>
          </cell>
        </row>
        <row r="595">
          <cell r="A595" t="str">
            <v>Cheeky Chums Day Nursery - 3252 - Day nursery</v>
          </cell>
          <cell r="B595">
            <v>3540</v>
          </cell>
          <cell r="C595">
            <v>1580</v>
          </cell>
        </row>
        <row r="596">
          <cell r="A596" t="str">
            <v>Cherry Lane Primary School - Extended Hours - 3854 - Schools - Extended Hours</v>
          </cell>
          <cell r="B596">
            <v>0</v>
          </cell>
          <cell r="C596">
            <v>2070</v>
          </cell>
        </row>
        <row r="597">
          <cell r="A597" t="str">
            <v>Cheryl Jillian Hartness - 566 - Childminder</v>
          </cell>
          <cell r="B597">
            <v>195</v>
          </cell>
          <cell r="C597">
            <v>0</v>
          </cell>
        </row>
        <row r="598">
          <cell r="A598" t="str">
            <v>Chickywicks Day Nursery - 784 - Day nursery</v>
          </cell>
          <cell r="B598">
            <v>3250</v>
          </cell>
          <cell r="C598">
            <v>1526</v>
          </cell>
        </row>
        <row r="599">
          <cell r="A599" t="str">
            <v>Childsplay Pre-School Playgroup - 896 - Pre-School Playgroup</v>
          </cell>
          <cell r="B599">
            <v>0</v>
          </cell>
          <cell r="C599">
            <v>156</v>
          </cell>
        </row>
        <row r="600">
          <cell r="A600" t="str">
            <v>Clare Louise Evans - 3022 - Childminder</v>
          </cell>
          <cell r="B600">
            <v>0</v>
          </cell>
          <cell r="C600">
            <v>195</v>
          </cell>
        </row>
        <row r="601">
          <cell r="A601" t="str">
            <v>Coat of Many Colours Nursery - 811 - Day nursery</v>
          </cell>
          <cell r="B601">
            <v>4282</v>
          </cell>
          <cell r="C601">
            <v>967</v>
          </cell>
        </row>
        <row r="602">
          <cell r="A602" t="str">
            <v>Coat of Many Colours Nursery Hayes Branch - 2400 - Day nursery</v>
          </cell>
          <cell r="B602">
            <v>8775</v>
          </cell>
          <cell r="C602">
            <v>975</v>
          </cell>
        </row>
        <row r="603">
          <cell r="A603" t="str">
            <v>Colham Manor Primary School - Extended Hours - 3855 - Day nursery</v>
          </cell>
          <cell r="B603">
            <v>0</v>
          </cell>
          <cell r="C603">
            <v>2925</v>
          </cell>
        </row>
        <row r="604">
          <cell r="A604" t="str">
            <v>Conroy, Elizabeth Smith - 760 - Childminder</v>
          </cell>
          <cell r="B604">
            <v>0</v>
          </cell>
          <cell r="C604">
            <v>0</v>
          </cell>
        </row>
        <row r="605">
          <cell r="A605" t="str">
            <v>Corinna Weech - 480 - Childminder</v>
          </cell>
          <cell r="B605">
            <v>0</v>
          </cell>
          <cell r="C605">
            <v>0</v>
          </cell>
        </row>
        <row r="606">
          <cell r="A606" t="str">
            <v>Coteford Infant School - Extended Hours - 3856 - Schools - Extended Hours</v>
          </cell>
          <cell r="B606">
            <v>0</v>
          </cell>
          <cell r="C606">
            <v>1365</v>
          </cell>
        </row>
        <row r="607">
          <cell r="A607" t="str">
            <v>Cranford Park Academy - Extended Hours - 3864 - Schools - Extended Hours</v>
          </cell>
          <cell r="B607">
            <v>0</v>
          </cell>
          <cell r="C607">
            <v>0</v>
          </cell>
        </row>
        <row r="608">
          <cell r="A608" t="str">
            <v>Creative Fingers Community Nursery Ltd - 3519 - Day nursery</v>
          </cell>
          <cell r="B608">
            <v>2925</v>
          </cell>
          <cell r="C608">
            <v>390</v>
          </cell>
        </row>
        <row r="609">
          <cell r="A609" t="str">
            <v>David Chinery - 519 - Childminder</v>
          </cell>
          <cell r="B609">
            <v>0</v>
          </cell>
          <cell r="C609">
            <v>0</v>
          </cell>
        </row>
        <row r="610">
          <cell r="A610" t="str">
            <v>Davis, Angela Christine - 3556 - Childminder</v>
          </cell>
          <cell r="B610">
            <v>0</v>
          </cell>
          <cell r="C610">
            <v>585</v>
          </cell>
        </row>
        <row r="611">
          <cell r="A611" t="str">
            <v>Dawn Edith Alberta Storey - 555 - Childminder</v>
          </cell>
          <cell r="B611">
            <v>0</v>
          </cell>
          <cell r="C611">
            <v>0</v>
          </cell>
        </row>
        <row r="612">
          <cell r="A612" t="str">
            <v>Deanesfield Primary School - Extended Hours - 3857 - Day nursery</v>
          </cell>
          <cell r="B612">
            <v>0</v>
          </cell>
          <cell r="C612">
            <v>2340</v>
          </cell>
        </row>
        <row r="613">
          <cell r="A613" t="str">
            <v>Deborah Ann Linsey - 515 - Childminder</v>
          </cell>
          <cell r="B613">
            <v>195</v>
          </cell>
          <cell r="C613">
            <v>195</v>
          </cell>
        </row>
        <row r="614">
          <cell r="A614" t="str">
            <v>Deborah Jane Harding - 506 - Childminder</v>
          </cell>
          <cell r="B614">
            <v>0</v>
          </cell>
          <cell r="C614">
            <v>0</v>
          </cell>
        </row>
        <row r="615">
          <cell r="A615" t="str">
            <v>Debra Ann North - 737 - Childminder</v>
          </cell>
          <cell r="B615">
            <v>195</v>
          </cell>
          <cell r="C615">
            <v>0</v>
          </cell>
        </row>
        <row r="616">
          <cell r="A616" t="str">
            <v>Debra Jane Richards - 548 - Childminder</v>
          </cell>
          <cell r="B616">
            <v>0</v>
          </cell>
          <cell r="C616">
            <v>0</v>
          </cell>
        </row>
        <row r="617">
          <cell r="A617" t="str">
            <v>Deglys Ines Burton - 3228 - Childminder</v>
          </cell>
          <cell r="B617">
            <v>0</v>
          </cell>
          <cell r="C617">
            <v>0</v>
          </cell>
        </row>
        <row r="618">
          <cell r="A618" t="str">
            <v>Diane Maria Abbott - 576 - Childminder</v>
          </cell>
          <cell r="B618">
            <v>0</v>
          </cell>
          <cell r="C618">
            <v>195</v>
          </cell>
        </row>
        <row r="619">
          <cell r="A619" t="str">
            <v>Discovery Nursery And Preschool - 3793 - Day nursery</v>
          </cell>
          <cell r="B619">
            <v>1560</v>
          </cell>
          <cell r="C619">
            <v>1365</v>
          </cell>
        </row>
        <row r="620">
          <cell r="A620" t="str">
            <v>Dorothy Gobbi - 390 - Childminder</v>
          </cell>
          <cell r="B620">
            <v>0</v>
          </cell>
          <cell r="C620">
            <v>0</v>
          </cell>
        </row>
        <row r="621">
          <cell r="A621" t="str">
            <v>Eilmar Montessori Day Nursery - 851 - Day nursery</v>
          </cell>
          <cell r="B621">
            <v>3810</v>
          </cell>
          <cell r="C621">
            <v>1755</v>
          </cell>
        </row>
        <row r="622">
          <cell r="A622" t="str">
            <v>Elizabeth Jane Webb - 621 - Childminder</v>
          </cell>
          <cell r="B622">
            <v>390</v>
          </cell>
          <cell r="C622">
            <v>585</v>
          </cell>
        </row>
        <row r="623">
          <cell r="A623" t="str">
            <v>Emma Weber - 756 - Childminder</v>
          </cell>
          <cell r="B623">
            <v>0</v>
          </cell>
          <cell r="C623">
            <v>0</v>
          </cell>
        </row>
        <row r="624">
          <cell r="A624" t="str">
            <v>Evelyne Cora Ephram - 3756 - Childminder</v>
          </cell>
          <cell r="B624">
            <v>0</v>
          </cell>
          <cell r="C624">
            <v>195</v>
          </cell>
        </row>
        <row r="625">
          <cell r="A625" t="str">
            <v>Faicka Khairdin - 3333 - Childminder</v>
          </cell>
          <cell r="B625">
            <v>0</v>
          </cell>
          <cell r="C625">
            <v>0</v>
          </cell>
        </row>
        <row r="626">
          <cell r="A626" t="str">
            <v>Fatiha Chita - 699 - Childminder</v>
          </cell>
          <cell r="B626">
            <v>0</v>
          </cell>
          <cell r="C626">
            <v>0</v>
          </cell>
        </row>
        <row r="627">
          <cell r="A627" t="str">
            <v>Felicity Waner - 659 - Childminder</v>
          </cell>
          <cell r="B627">
            <v>0</v>
          </cell>
          <cell r="C627">
            <v>0</v>
          </cell>
        </row>
        <row r="628">
          <cell r="A628" t="str">
            <v>Funtimes Playgroup - 794 - Pre-School Playgroup</v>
          </cell>
          <cell r="B628">
            <v>345</v>
          </cell>
          <cell r="C628">
            <v>0</v>
          </cell>
        </row>
        <row r="629">
          <cell r="A629" t="str">
            <v>Gail Jacqueline Dear - 655 - Childminder</v>
          </cell>
          <cell r="B629">
            <v>0</v>
          </cell>
          <cell r="C629">
            <v>0</v>
          </cell>
        </row>
        <row r="630">
          <cell r="A630" t="str">
            <v>Gail Jean Randall - 2068 - Childminder</v>
          </cell>
          <cell r="B630">
            <v>0</v>
          </cell>
          <cell r="C630">
            <v>195</v>
          </cell>
        </row>
        <row r="631">
          <cell r="A631" t="str">
            <v>Garland, Angela - 630 - Childminder</v>
          </cell>
          <cell r="B631">
            <v>0</v>
          </cell>
          <cell r="C631">
            <v>0</v>
          </cell>
        </row>
        <row r="632">
          <cell r="A632" t="str">
            <v>Gena Anne Betts - 559 - Childminder</v>
          </cell>
          <cell r="B632">
            <v>390</v>
          </cell>
          <cell r="C632">
            <v>390</v>
          </cell>
        </row>
        <row r="633">
          <cell r="A633" t="str">
            <v>Gina Maria Glossop - 643 - Childminder</v>
          </cell>
          <cell r="B633">
            <v>0</v>
          </cell>
          <cell r="C633">
            <v>0</v>
          </cell>
        </row>
        <row r="634">
          <cell r="A634" t="str">
            <v>Glebe Primary School - Extended Hours - 3879 - Day nursery</v>
          </cell>
          <cell r="B634">
            <v>0</v>
          </cell>
          <cell r="C634">
            <v>0</v>
          </cell>
        </row>
        <row r="635">
          <cell r="A635" t="str">
            <v>Grainne Majella Bridget O'Hare - 464 - Childminder</v>
          </cell>
          <cell r="B635">
            <v>585</v>
          </cell>
          <cell r="C635">
            <v>0</v>
          </cell>
        </row>
        <row r="636">
          <cell r="A636" t="str">
            <v>Granary Childcare -Summer Camp Do Not Use - 3567 - Day nursery</v>
          </cell>
          <cell r="B636">
            <v>0</v>
          </cell>
          <cell r="C636">
            <v>0</v>
          </cell>
        </row>
        <row r="637">
          <cell r="A637" t="str">
            <v>Green, Claire - 2286 - Childminder</v>
          </cell>
          <cell r="B637">
            <v>0</v>
          </cell>
          <cell r="C637">
            <v>0</v>
          </cell>
        </row>
        <row r="638">
          <cell r="A638" t="str">
            <v>Hannah Carol O'Donovan - 707 - Childminder</v>
          </cell>
          <cell r="B638">
            <v>0</v>
          </cell>
          <cell r="C638">
            <v>390</v>
          </cell>
        </row>
        <row r="639">
          <cell r="A639" t="str">
            <v>Happy Days Pre-School - 897 - Pre-School Playgroup</v>
          </cell>
          <cell r="B639">
            <v>195</v>
          </cell>
          <cell r="C639">
            <v>0</v>
          </cell>
        </row>
        <row r="640">
          <cell r="A640" t="str">
            <v>Happy Tree (West Drayton) Ltd - 2111 - Day nursery</v>
          </cell>
          <cell r="B640">
            <v>7845</v>
          </cell>
          <cell r="C640">
            <v>2580</v>
          </cell>
        </row>
        <row r="641">
          <cell r="A641" t="str">
            <v>Happy Tree Academy - 3796 - Day nursery</v>
          </cell>
          <cell r="B641">
            <v>0</v>
          </cell>
          <cell r="C641">
            <v>0</v>
          </cell>
        </row>
        <row r="642">
          <cell r="A642" t="str">
            <v>Harefield Hospital Day Nursery - 872 - Day nursery</v>
          </cell>
          <cell r="B642">
            <v>2340</v>
          </cell>
          <cell r="C642">
            <v>0</v>
          </cell>
        </row>
        <row r="643">
          <cell r="A643" t="str">
            <v>Harefield Infant School - Extended Hours - 3863 - Schools - Extended Hours</v>
          </cell>
          <cell r="B643">
            <v>0</v>
          </cell>
          <cell r="C643">
            <v>2535</v>
          </cell>
        </row>
        <row r="644">
          <cell r="A644" t="str">
            <v>Hatcher, Steven - 2169 - Childminder</v>
          </cell>
          <cell r="B644">
            <v>0</v>
          </cell>
          <cell r="C644">
            <v>0</v>
          </cell>
        </row>
        <row r="645">
          <cell r="A645" t="str">
            <v>Hawkins, Stephanie Ann - 3595 - Childminder</v>
          </cell>
          <cell r="B645">
            <v>0</v>
          </cell>
          <cell r="C645">
            <v>0</v>
          </cell>
        </row>
        <row r="646">
          <cell r="A646" t="str">
            <v>Haydon Hall Montessori Nursery - 828 - Day nursery</v>
          </cell>
          <cell r="B646">
            <v>0</v>
          </cell>
          <cell r="C646">
            <v>0</v>
          </cell>
        </row>
        <row r="647">
          <cell r="A647" t="str">
            <v>Hayley Thomas - 716 - Childminder</v>
          </cell>
          <cell r="B647">
            <v>195</v>
          </cell>
          <cell r="C647">
            <v>0</v>
          </cell>
        </row>
        <row r="648">
          <cell r="A648" t="str">
            <v>Hillingdon Primary School - Extended Hours - 3858 - Schools - Extended Hours</v>
          </cell>
          <cell r="B648">
            <v>0</v>
          </cell>
          <cell r="C648">
            <v>2535</v>
          </cell>
        </row>
        <row r="649">
          <cell r="A649" t="str">
            <v>Hillside Infant School - Extended Hours - 3859 - Schools - Extended Hours</v>
          </cell>
          <cell r="B649">
            <v>0</v>
          </cell>
          <cell r="C649">
            <v>0</v>
          </cell>
        </row>
        <row r="650">
          <cell r="A650" t="str">
            <v>Holly Louise Denton - 3776 - Childminder</v>
          </cell>
          <cell r="B650">
            <v>0</v>
          </cell>
          <cell r="C650">
            <v>0</v>
          </cell>
        </row>
        <row r="651">
          <cell r="A651" t="str">
            <v>Honey Bears Montessori - 808 - Day nursery</v>
          </cell>
          <cell r="B651">
            <v>2535</v>
          </cell>
          <cell r="C651">
            <v>273</v>
          </cell>
        </row>
        <row r="652">
          <cell r="A652" t="str">
            <v>Huda Hassan - 3248 - Childminder</v>
          </cell>
          <cell r="B652">
            <v>0</v>
          </cell>
          <cell r="C652">
            <v>0</v>
          </cell>
        </row>
        <row r="653">
          <cell r="A653" t="str">
            <v>Hungry Caterpillar Day Nurseries- Yeading - 825 - Day nursery</v>
          </cell>
          <cell r="B653">
            <v>4515</v>
          </cell>
          <cell r="C653">
            <v>1300</v>
          </cell>
        </row>
        <row r="654">
          <cell r="A654" t="str">
            <v>Jancso, Christine - 337 - Childminder</v>
          </cell>
          <cell r="B654">
            <v>195</v>
          </cell>
          <cell r="C654">
            <v>390</v>
          </cell>
        </row>
        <row r="655">
          <cell r="A655" t="str">
            <v>Jane Louise Keen - 3319 - Childminder</v>
          </cell>
          <cell r="B655">
            <v>390</v>
          </cell>
          <cell r="C655">
            <v>0</v>
          </cell>
        </row>
        <row r="656">
          <cell r="A656" t="str">
            <v>Jarrett Sandra - 586 - Childminder</v>
          </cell>
          <cell r="B656">
            <v>0</v>
          </cell>
          <cell r="C656">
            <v>0</v>
          </cell>
        </row>
        <row r="657">
          <cell r="A657" t="str">
            <v>Jayne Anne Zenga - 470 - Childminder</v>
          </cell>
          <cell r="B657">
            <v>0</v>
          </cell>
          <cell r="C657">
            <v>0</v>
          </cell>
        </row>
        <row r="658">
          <cell r="A658" t="str">
            <v>Jeanette Catherine Louise Richardson - 553 - Childminder</v>
          </cell>
          <cell r="B658">
            <v>60</v>
          </cell>
          <cell r="C658">
            <v>0</v>
          </cell>
        </row>
        <row r="659">
          <cell r="A659" t="str">
            <v>Jelly Tots Pre-School - 3723 - Pre-School Playgroup</v>
          </cell>
          <cell r="B659">
            <v>1462.5</v>
          </cell>
          <cell r="C659">
            <v>0</v>
          </cell>
        </row>
        <row r="660">
          <cell r="A660" t="str">
            <v>Jennifer Emma Peake-Stolberg - 3472 - Childminder</v>
          </cell>
          <cell r="B660">
            <v>0</v>
          </cell>
          <cell r="C660">
            <v>195</v>
          </cell>
        </row>
        <row r="661">
          <cell r="A661" t="str">
            <v>Joanne Hall - 591 - Childminder</v>
          </cell>
          <cell r="B661">
            <v>390</v>
          </cell>
          <cell r="C661">
            <v>195</v>
          </cell>
        </row>
        <row r="662">
          <cell r="A662" t="str">
            <v>Joanne Marie Govier - 3779 - Childminder</v>
          </cell>
          <cell r="B662">
            <v>0</v>
          </cell>
          <cell r="C662">
            <v>0</v>
          </cell>
        </row>
        <row r="663">
          <cell r="A663" t="str">
            <v>Jodie Claire Thomas - 3251 - Childminder</v>
          </cell>
          <cell r="B663">
            <v>0</v>
          </cell>
          <cell r="C663">
            <v>0</v>
          </cell>
        </row>
        <row r="664">
          <cell r="A664" t="str">
            <v>Jolene Nichola Juliese Oosthuizen - 2549 - Childminder</v>
          </cell>
          <cell r="B664">
            <v>0</v>
          </cell>
          <cell r="C664">
            <v>0</v>
          </cell>
        </row>
        <row r="665">
          <cell r="A665" t="str">
            <v>Jolly Rainbows Nursery Ltd - 3609 - Pre-School Playgroup</v>
          </cell>
          <cell r="B665">
            <v>780</v>
          </cell>
          <cell r="C665">
            <v>858</v>
          </cell>
        </row>
        <row r="666">
          <cell r="A666" t="str">
            <v>Joy Peake - 551 - Childminder</v>
          </cell>
          <cell r="B666">
            <v>0</v>
          </cell>
          <cell r="C666">
            <v>0</v>
          </cell>
        </row>
        <row r="667">
          <cell r="A667" t="str">
            <v>Julie Jane Corrigan - 2164 - Childminder</v>
          </cell>
          <cell r="B667">
            <v>0</v>
          </cell>
          <cell r="C667">
            <v>0</v>
          </cell>
        </row>
        <row r="668">
          <cell r="A668" t="str">
            <v>Julie Megan Newell - 3707 - Childminder</v>
          </cell>
          <cell r="B668">
            <v>441</v>
          </cell>
          <cell r="C668">
            <v>0</v>
          </cell>
        </row>
        <row r="669">
          <cell r="A669" t="str">
            <v>June Ann Reynolds - 499 - Childminder</v>
          </cell>
          <cell r="B669">
            <v>195</v>
          </cell>
          <cell r="C669">
            <v>0</v>
          </cell>
        </row>
        <row r="670">
          <cell r="A670" t="str">
            <v>Karen Jayne Owen - 511 - Childminder</v>
          </cell>
          <cell r="B670">
            <v>0</v>
          </cell>
          <cell r="C670">
            <v>0</v>
          </cell>
        </row>
        <row r="671">
          <cell r="A671" t="str">
            <v>Katarina Marcincin - 2393 - Childminder</v>
          </cell>
          <cell r="B671">
            <v>195</v>
          </cell>
          <cell r="C671">
            <v>0</v>
          </cell>
        </row>
        <row r="672">
          <cell r="A672" t="str">
            <v>Katja Layher-Segal - 2225 - Childminder</v>
          </cell>
          <cell r="B672">
            <v>195</v>
          </cell>
          <cell r="C672">
            <v>0</v>
          </cell>
        </row>
        <row r="673">
          <cell r="A673" t="str">
            <v>Katy Louise Sowrey - 2287 - Childminder</v>
          </cell>
          <cell r="B673">
            <v>195</v>
          </cell>
          <cell r="C673">
            <v>390</v>
          </cell>
        </row>
        <row r="674">
          <cell r="A674" t="str">
            <v>Kavita Hajare - 3763 - Childminder</v>
          </cell>
          <cell r="B674">
            <v>0</v>
          </cell>
          <cell r="C674">
            <v>0</v>
          </cell>
        </row>
        <row r="675">
          <cell r="A675" t="str">
            <v>Kiddiecare Nurseries - Ashdown - 3817 - Day nursery</v>
          </cell>
          <cell r="B675">
            <v>390</v>
          </cell>
          <cell r="C675">
            <v>170</v>
          </cell>
        </row>
        <row r="676">
          <cell r="A676" t="str">
            <v>KiddieCare Nursery - 3535 - Day nursery</v>
          </cell>
          <cell r="B676">
            <v>0</v>
          </cell>
          <cell r="C676">
            <v>0</v>
          </cell>
        </row>
        <row r="677">
          <cell r="A677" t="str">
            <v>Kiddiecare Nursery - Botwell - 2336 - Day nursery</v>
          </cell>
          <cell r="B677">
            <v>3000</v>
          </cell>
          <cell r="C677">
            <v>1245</v>
          </cell>
        </row>
        <row r="678">
          <cell r="A678" t="str">
            <v>Kiddiecare Nursery - Church Road - 2203 - Day nursery</v>
          </cell>
          <cell r="B678">
            <v>4855</v>
          </cell>
          <cell r="C678">
            <v>1820</v>
          </cell>
        </row>
        <row r="679">
          <cell r="A679" t="str">
            <v>Kiddiecare Nursery - Pine Place - 3656 - Day nursery</v>
          </cell>
          <cell r="B679">
            <v>780</v>
          </cell>
          <cell r="C679">
            <v>195</v>
          </cell>
        </row>
        <row r="680">
          <cell r="A680" t="str">
            <v>Kiddiecare Nursery - West Drayton - 3603 - Day nursery</v>
          </cell>
          <cell r="B680">
            <v>2170</v>
          </cell>
          <cell r="C680">
            <v>390</v>
          </cell>
        </row>
        <row r="681">
          <cell r="A681" t="str">
            <v>Kristina Ivanova Anastasova - 3750 - Childminder</v>
          </cell>
          <cell r="B681">
            <v>0</v>
          </cell>
          <cell r="C681">
            <v>0</v>
          </cell>
        </row>
        <row r="682">
          <cell r="A682" t="str">
            <v>Lady Banke's Eye Nursery and Before &amp; After School Club - 306 - Day nursery</v>
          </cell>
          <cell r="B682">
            <v>1708</v>
          </cell>
          <cell r="C682">
            <v>0</v>
          </cell>
        </row>
        <row r="683">
          <cell r="A683" t="str">
            <v>Laura Keegan - 691 - Childminder</v>
          </cell>
          <cell r="B683">
            <v>0</v>
          </cell>
          <cell r="C683">
            <v>0</v>
          </cell>
        </row>
        <row r="684">
          <cell r="A684" t="str">
            <v>Laurel Lane Primary School - Extented Hours - 3891 - Schools - Extended Hours</v>
          </cell>
          <cell r="B684">
            <v>0</v>
          </cell>
          <cell r="C684">
            <v>0</v>
          </cell>
        </row>
        <row r="685">
          <cell r="A685" t="str">
            <v>Laurette Holmes - 3262 - Childminder</v>
          </cell>
          <cell r="B685">
            <v>195</v>
          </cell>
          <cell r="C685">
            <v>0</v>
          </cell>
        </row>
        <row r="686">
          <cell r="A686" t="str">
            <v>Lesley Elizabeth Hunt - 532 - Childminder</v>
          </cell>
          <cell r="B686">
            <v>1950</v>
          </cell>
          <cell r="C686">
            <v>2199</v>
          </cell>
        </row>
        <row r="687">
          <cell r="A687" t="str">
            <v>Lilliput Pre-School - 2263 - Pre-School Playgroup</v>
          </cell>
          <cell r="B687">
            <v>1875</v>
          </cell>
          <cell r="C687">
            <v>585</v>
          </cell>
        </row>
        <row r="688">
          <cell r="A688" t="str">
            <v>Lilliput Pre-School Uxbridge - 3717 - Pre-School Playgroup</v>
          </cell>
          <cell r="B688">
            <v>900</v>
          </cell>
          <cell r="C688">
            <v>0</v>
          </cell>
        </row>
        <row r="689">
          <cell r="A689" t="str">
            <v>Linda Tracey Taylor - 562 - Childminder</v>
          </cell>
          <cell r="B689">
            <v>390</v>
          </cell>
          <cell r="C689">
            <v>195</v>
          </cell>
        </row>
        <row r="690">
          <cell r="A690" t="str">
            <v>Lisa Helen Field - 382 - Childminder</v>
          </cell>
          <cell r="B690">
            <v>0</v>
          </cell>
          <cell r="C690">
            <v>0</v>
          </cell>
        </row>
        <row r="691">
          <cell r="A691" t="str">
            <v>Little Companions Pre-School - 3269 - Pre-School Playgroup</v>
          </cell>
          <cell r="B691">
            <v>3510</v>
          </cell>
          <cell r="C691">
            <v>0</v>
          </cell>
        </row>
        <row r="692">
          <cell r="A692" t="str">
            <v>Little Crickets Learning Centre - 2244 - Day nursery</v>
          </cell>
          <cell r="B692">
            <v>2145</v>
          </cell>
          <cell r="C692">
            <v>1950</v>
          </cell>
        </row>
        <row r="693">
          <cell r="A693" t="str">
            <v>Little Leaf Nursery - 3541 - Day nursery</v>
          </cell>
          <cell r="B693">
            <v>1500</v>
          </cell>
          <cell r="C693">
            <v>1170</v>
          </cell>
        </row>
        <row r="694">
          <cell r="A694" t="str">
            <v>Little Marvels Day Nursery (Brookside) - 3759 - Day nursery</v>
          </cell>
          <cell r="B694">
            <v>975</v>
          </cell>
          <cell r="C694">
            <v>0</v>
          </cell>
        </row>
        <row r="695">
          <cell r="A695" t="str">
            <v>Little Marvels Day Nursery (Hewens) - 3758 - Day nursery</v>
          </cell>
          <cell r="B695">
            <v>1170</v>
          </cell>
          <cell r="C695">
            <v>1950</v>
          </cell>
        </row>
        <row r="696">
          <cell r="A696" t="str">
            <v>Little Marvels Nursery - Rosedale - 3724 - Day nursery</v>
          </cell>
          <cell r="B696">
            <v>3315</v>
          </cell>
          <cell r="C696">
            <v>1560</v>
          </cell>
        </row>
        <row r="697">
          <cell r="A697" t="str">
            <v>Little People Daycare - 3652 - Day nursery</v>
          </cell>
          <cell r="B697">
            <v>975</v>
          </cell>
          <cell r="C697">
            <v>195</v>
          </cell>
        </row>
        <row r="698">
          <cell r="A698" t="str">
            <v>Little Stars Pre-School - 3533 - Pre-School Playgroup</v>
          </cell>
          <cell r="B698">
            <v>1170</v>
          </cell>
          <cell r="C698">
            <v>0</v>
          </cell>
        </row>
        <row r="699">
          <cell r="A699" t="str">
            <v>Little Voices Pre School - 853 - Pre-School Playgroup</v>
          </cell>
          <cell r="B699">
            <v>0</v>
          </cell>
          <cell r="C699">
            <v>0</v>
          </cell>
        </row>
        <row r="700">
          <cell r="A700" t="str">
            <v>Littlebrook Nursery - 2342 - Day nursery</v>
          </cell>
          <cell r="B700">
            <v>10790</v>
          </cell>
          <cell r="C700">
            <v>5135</v>
          </cell>
        </row>
        <row r="701">
          <cell r="A701" t="str">
            <v>Littlebrook Nursery - Bath Road - 854 - Day nursery</v>
          </cell>
          <cell r="B701">
            <v>3315</v>
          </cell>
          <cell r="C701">
            <v>2418</v>
          </cell>
        </row>
        <row r="702">
          <cell r="A702" t="str">
            <v>Lollipops Playgroup - 898 - Pre-School Playgroup</v>
          </cell>
          <cell r="B702">
            <v>585</v>
          </cell>
          <cell r="C702">
            <v>0</v>
          </cell>
        </row>
        <row r="703">
          <cell r="A703" t="str">
            <v>London Borough of Hillingdon, Nestles Avenue Children's Centre - 865 - Day nursery</v>
          </cell>
          <cell r="B703">
            <v>7785</v>
          </cell>
          <cell r="C703">
            <v>2127</v>
          </cell>
        </row>
        <row r="704">
          <cell r="A704" t="str">
            <v>Loretta Maria Critchett - 2172 - Childminder</v>
          </cell>
          <cell r="B704">
            <v>585</v>
          </cell>
          <cell r="C704">
            <v>0</v>
          </cell>
        </row>
        <row r="705">
          <cell r="A705" t="str">
            <v>Louise Helen Holdsworth - 565 - Childminder</v>
          </cell>
          <cell r="B705">
            <v>195</v>
          </cell>
          <cell r="C705">
            <v>0</v>
          </cell>
        </row>
        <row r="706">
          <cell r="A706" t="str">
            <v>Louise Nina Mansford - 3492 - Childminder</v>
          </cell>
          <cell r="B706">
            <v>0</v>
          </cell>
          <cell r="C706">
            <v>0</v>
          </cell>
        </row>
        <row r="707">
          <cell r="A707" t="str">
            <v>Lynne Callaghan - 305 - Childminder</v>
          </cell>
          <cell r="B707">
            <v>0</v>
          </cell>
          <cell r="C707">
            <v>195</v>
          </cell>
        </row>
        <row r="708">
          <cell r="A708" t="str">
            <v>Lysander Preschool - 858 - Pre-School Playgroup</v>
          </cell>
          <cell r="B708">
            <v>897</v>
          </cell>
          <cell r="C708">
            <v>0</v>
          </cell>
        </row>
        <row r="709">
          <cell r="A709" t="str">
            <v>Magdalena Borek - 3312 - Childminder</v>
          </cell>
          <cell r="B709">
            <v>0</v>
          </cell>
          <cell r="C709">
            <v>0</v>
          </cell>
        </row>
        <row r="710">
          <cell r="A710" t="str">
            <v>Magic Steps Nursery - 3019 - Day nursery</v>
          </cell>
          <cell r="B710">
            <v>8550</v>
          </cell>
          <cell r="C710">
            <v>4875</v>
          </cell>
        </row>
        <row r="711">
          <cell r="A711" t="str">
            <v>Malizu-Nyamapfene, Cynthia - 3816 - Childminder</v>
          </cell>
          <cell r="B711">
            <v>195</v>
          </cell>
          <cell r="C711">
            <v>195</v>
          </cell>
        </row>
        <row r="712">
          <cell r="A712" t="str">
            <v>Mandy Shaw - 560 - Childminder</v>
          </cell>
          <cell r="B712">
            <v>0</v>
          </cell>
          <cell r="C712">
            <v>780</v>
          </cell>
        </row>
        <row r="713">
          <cell r="A713" t="str">
            <v>Masouma Sana Chapman - 3739 - Childminder</v>
          </cell>
          <cell r="B713">
            <v>0</v>
          </cell>
          <cell r="C713">
            <v>0</v>
          </cell>
        </row>
        <row r="714">
          <cell r="A714" t="str">
            <v>Matharu, Kamal Preet - 2313 - Childminder</v>
          </cell>
          <cell r="B714">
            <v>0</v>
          </cell>
          <cell r="C714">
            <v>0</v>
          </cell>
        </row>
        <row r="715">
          <cell r="A715" t="str">
            <v>McMillan Early Childhood Centre (Daycare) - 837 - Day nursery</v>
          </cell>
          <cell r="B715">
            <v>0</v>
          </cell>
          <cell r="C715">
            <v>4485</v>
          </cell>
        </row>
        <row r="716">
          <cell r="A716" t="str">
            <v>Meadows Early Years Practitioners - 2142 - Pre-School Playgroup</v>
          </cell>
          <cell r="B716">
            <v>1716</v>
          </cell>
          <cell r="C716">
            <v>0</v>
          </cell>
        </row>
        <row r="717">
          <cell r="A717" t="str">
            <v>Michelle Afua Fye - 2348 - Childminder</v>
          </cell>
          <cell r="B717">
            <v>0</v>
          </cell>
          <cell r="C717">
            <v>0</v>
          </cell>
        </row>
        <row r="718">
          <cell r="A718" t="str">
            <v>Michelle Lorraine Dickson - 2215 - Childminder</v>
          </cell>
          <cell r="B718">
            <v>0</v>
          </cell>
          <cell r="C718">
            <v>130</v>
          </cell>
        </row>
        <row r="719">
          <cell r="A719" t="str">
            <v>Michelle Louise Cochrane - 754 - Childminder</v>
          </cell>
          <cell r="B719">
            <v>0</v>
          </cell>
          <cell r="C719">
            <v>0</v>
          </cell>
        </row>
        <row r="720">
          <cell r="A720" t="str">
            <v>Michelle Shorey - 482 - Childminder</v>
          </cell>
          <cell r="B720">
            <v>0</v>
          </cell>
          <cell r="C720">
            <v>0</v>
          </cell>
        </row>
        <row r="721">
          <cell r="A721" t="str">
            <v>Ministeps Nursery - 3596 - Day nursery</v>
          </cell>
          <cell r="B721">
            <v>2265</v>
          </cell>
          <cell r="C721">
            <v>1560</v>
          </cell>
        </row>
        <row r="722">
          <cell r="A722" t="str">
            <v>Ministeps Nursery - 3752 - Day nursery</v>
          </cell>
          <cell r="B722">
            <v>0</v>
          </cell>
          <cell r="C722">
            <v>0</v>
          </cell>
        </row>
        <row r="723">
          <cell r="A723" t="str">
            <v>Miss Sheila Katherine McLeod - 544 - Childminder</v>
          </cell>
          <cell r="B723">
            <v>0</v>
          </cell>
          <cell r="C723">
            <v>0</v>
          </cell>
        </row>
        <row r="724">
          <cell r="A724" t="str">
            <v>Monika Anna Taratajcio - 714 - Childminder</v>
          </cell>
          <cell r="B724">
            <v>0</v>
          </cell>
          <cell r="C724">
            <v>0</v>
          </cell>
        </row>
        <row r="725">
          <cell r="A725" t="str">
            <v>Monkey Puzzle Day Nursery Uxbridge - 3778 - Day nursery</v>
          </cell>
          <cell r="B725">
            <v>561</v>
          </cell>
          <cell r="C725">
            <v>1958</v>
          </cell>
        </row>
        <row r="726">
          <cell r="A726" t="str">
            <v>Mount Vernon Nursery - 830 - Day nursery</v>
          </cell>
          <cell r="B726">
            <v>2613</v>
          </cell>
          <cell r="C726">
            <v>3744</v>
          </cell>
        </row>
        <row r="727">
          <cell r="A727" t="str">
            <v>Mrs Cheryl Stevens - 509 - Childminder</v>
          </cell>
          <cell r="B727">
            <v>0</v>
          </cell>
          <cell r="C727">
            <v>0</v>
          </cell>
        </row>
        <row r="728">
          <cell r="A728" t="str">
            <v>Mrs Karen Bradbrook - 320 - Childminder</v>
          </cell>
          <cell r="B728">
            <v>0</v>
          </cell>
          <cell r="C728">
            <v>0</v>
          </cell>
        </row>
        <row r="729">
          <cell r="A729" t="str">
            <v>Myclark, Brandy Christianne - 3331 - Childminder</v>
          </cell>
          <cell r="B729">
            <v>0</v>
          </cell>
          <cell r="C729">
            <v>0</v>
          </cell>
        </row>
        <row r="730">
          <cell r="A730" t="str">
            <v>Namrata Watal - 2360 - Childminder</v>
          </cell>
          <cell r="B730">
            <v>195</v>
          </cell>
          <cell r="C730">
            <v>195</v>
          </cell>
        </row>
        <row r="731">
          <cell r="A731" t="str">
            <v>Nancy Carruthers - 758 - Childminder</v>
          </cell>
          <cell r="B731">
            <v>0</v>
          </cell>
          <cell r="C731">
            <v>0</v>
          </cell>
        </row>
        <row r="732">
          <cell r="A732" t="str">
            <v>Nancy Rita Allwright - 723 - Childminder</v>
          </cell>
          <cell r="B732">
            <v>195</v>
          </cell>
          <cell r="C732">
            <v>165</v>
          </cell>
        </row>
        <row r="733">
          <cell r="A733" t="str">
            <v>Natasha Malone - 694 - Childminder</v>
          </cell>
          <cell r="B733">
            <v>0</v>
          </cell>
          <cell r="C733">
            <v>0</v>
          </cell>
        </row>
        <row r="734">
          <cell r="A734" t="str">
            <v>Nicola Jane Pech - 670 - Childminder</v>
          </cell>
          <cell r="B734">
            <v>0</v>
          </cell>
          <cell r="C734">
            <v>0</v>
          </cell>
        </row>
        <row r="735">
          <cell r="A735" t="str">
            <v>Nioka Jane Goode - 2396 - Childminder</v>
          </cell>
          <cell r="B735">
            <v>0</v>
          </cell>
          <cell r="C735">
            <v>0</v>
          </cell>
        </row>
        <row r="736">
          <cell r="A736" t="str">
            <v>Northwood College (Bluebelle House) - 250 - Nursery Units of Independent Schools</v>
          </cell>
          <cell r="B736">
            <v>18330</v>
          </cell>
          <cell r="C736">
            <v>0</v>
          </cell>
        </row>
        <row r="737">
          <cell r="A737" t="str">
            <v>Oak Farm Infant School - Extended Hours - 3860 - Schools - Extended Hours</v>
          </cell>
          <cell r="B737">
            <v>0</v>
          </cell>
          <cell r="C737">
            <v>6098</v>
          </cell>
        </row>
        <row r="738">
          <cell r="A738" t="str">
            <v>Oaklands Pre-School Playgroup - 882 - Pre-School Playgroup</v>
          </cell>
          <cell r="B738">
            <v>0</v>
          </cell>
          <cell r="C738">
            <v>0</v>
          </cell>
        </row>
        <row r="739">
          <cell r="A739" t="str">
            <v>Once Upon A Time - Eastcote - 864 - Day nursery</v>
          </cell>
          <cell r="B739">
            <v>3315</v>
          </cell>
          <cell r="C739">
            <v>1950</v>
          </cell>
        </row>
        <row r="740">
          <cell r="A740" t="str">
            <v>Once Upon A Time - Rockingham Road - 863 - Day nursery</v>
          </cell>
          <cell r="B740">
            <v>2445</v>
          </cell>
          <cell r="C740">
            <v>975</v>
          </cell>
        </row>
        <row r="741">
          <cell r="A741" t="str">
            <v>Once Upon A Time Day Nurseries - Yeading Lane - 3266 - Day nursery</v>
          </cell>
          <cell r="B741">
            <v>4920</v>
          </cell>
          <cell r="C741">
            <v>585</v>
          </cell>
        </row>
        <row r="742">
          <cell r="A742" t="str">
            <v>Once Upon A Time Day Nurseries - York Road - 867 - Day nursery</v>
          </cell>
          <cell r="B742">
            <v>1950</v>
          </cell>
          <cell r="C742">
            <v>585</v>
          </cell>
        </row>
        <row r="743">
          <cell r="A743" t="str">
            <v>Once Upon A Time Playgroup - 814 - Pre-School Playgroup</v>
          </cell>
          <cell r="B743">
            <v>195</v>
          </cell>
          <cell r="C743">
            <v>0</v>
          </cell>
        </row>
        <row r="744">
          <cell r="A744" t="str">
            <v>Patricia Anne Simon - 264 - Childminder</v>
          </cell>
          <cell r="B744">
            <v>0</v>
          </cell>
          <cell r="C744">
            <v>0</v>
          </cell>
        </row>
        <row r="745">
          <cell r="A745" t="str">
            <v>Patricia Georgina Panteli - 284 - Childminder</v>
          </cell>
          <cell r="B745">
            <v>0</v>
          </cell>
          <cell r="C745">
            <v>195</v>
          </cell>
        </row>
        <row r="746">
          <cell r="A746" t="str">
            <v>Payal Parekh - 3702 - Childminder</v>
          </cell>
          <cell r="B746">
            <v>0</v>
          </cell>
          <cell r="C746">
            <v>0</v>
          </cell>
        </row>
        <row r="747">
          <cell r="A747" t="str">
            <v>Peapods Early Learning Centre Ltd (Hillingdon) - 3832 - Day nursery</v>
          </cell>
          <cell r="B747">
            <v>390</v>
          </cell>
          <cell r="C747">
            <v>0</v>
          </cell>
        </row>
        <row r="748">
          <cell r="A748" t="str">
            <v>Penny Jane Knowles - 533 - Childminder</v>
          </cell>
          <cell r="B748">
            <v>0</v>
          </cell>
          <cell r="C748">
            <v>0</v>
          </cell>
        </row>
        <row r="749">
          <cell r="A749" t="str">
            <v>Petra Salisbury - 3735 - Childminder</v>
          </cell>
          <cell r="B749">
            <v>195</v>
          </cell>
          <cell r="C749">
            <v>162.5</v>
          </cell>
        </row>
        <row r="750">
          <cell r="A750" t="str">
            <v>Premier Nursery Uxbridge - 859 - Day nursery</v>
          </cell>
          <cell r="B750">
            <v>4645</v>
          </cell>
          <cell r="C750">
            <v>2145</v>
          </cell>
        </row>
        <row r="751">
          <cell r="A751" t="str">
            <v>Pre-School Academy - 2199 - Day nursery</v>
          </cell>
          <cell r="B751">
            <v>1755</v>
          </cell>
          <cell r="C751">
            <v>0</v>
          </cell>
        </row>
        <row r="752">
          <cell r="A752" t="str">
            <v>Pre-School Playhouse - 887 - Day nursery</v>
          </cell>
          <cell r="B752">
            <v>2775</v>
          </cell>
          <cell r="C752">
            <v>2930</v>
          </cell>
        </row>
        <row r="753">
          <cell r="A753" t="str">
            <v>Rachael Claire Shailes - 717 - Childminder</v>
          </cell>
          <cell r="B753">
            <v>0</v>
          </cell>
          <cell r="C753">
            <v>0</v>
          </cell>
        </row>
        <row r="754">
          <cell r="A754" t="str">
            <v>Rachel Carmen Hetherington - 574 - Childminder</v>
          </cell>
          <cell r="B754">
            <v>0</v>
          </cell>
          <cell r="C754">
            <v>0</v>
          </cell>
        </row>
        <row r="755">
          <cell r="A755" t="str">
            <v>Rajinder Nagra - 601 - Childminder</v>
          </cell>
          <cell r="B755">
            <v>195</v>
          </cell>
          <cell r="C755">
            <v>195</v>
          </cell>
        </row>
        <row r="756">
          <cell r="A756" t="str">
            <v>Reed, Cheryl Nina - 3529 - Childminder</v>
          </cell>
          <cell r="B756">
            <v>0</v>
          </cell>
          <cell r="C756">
            <v>0</v>
          </cell>
        </row>
        <row r="757">
          <cell r="A757" t="str">
            <v>Riviane De Morais Araujo - 2994 - Childminder</v>
          </cell>
          <cell r="B757">
            <v>0</v>
          </cell>
          <cell r="C757">
            <v>0</v>
          </cell>
        </row>
        <row r="758">
          <cell r="A758" t="str">
            <v>Roda Mohamed - 2324 - Childminder</v>
          </cell>
          <cell r="B758">
            <v>240</v>
          </cell>
          <cell r="C758">
            <v>0</v>
          </cell>
        </row>
        <row r="759">
          <cell r="A759" t="str">
            <v>Rosewood Montessori - 823 - Day nursery</v>
          </cell>
          <cell r="B759">
            <v>3171</v>
          </cell>
          <cell r="C759">
            <v>0</v>
          </cell>
        </row>
        <row r="760">
          <cell r="A760" t="str">
            <v>Ruislip Methodist Playgroup - 873 - Pre-School Playgroup</v>
          </cell>
          <cell r="B760">
            <v>906</v>
          </cell>
          <cell r="C760">
            <v>156</v>
          </cell>
        </row>
        <row r="761">
          <cell r="A761" t="str">
            <v>Ruislip Stars Nurseries Ltd - 3585 - Day nursery</v>
          </cell>
          <cell r="B761">
            <v>1560</v>
          </cell>
          <cell r="C761">
            <v>975</v>
          </cell>
        </row>
        <row r="762">
          <cell r="A762" t="str">
            <v>Ruth Elizabeth Jones - 2137 - Childminder</v>
          </cell>
          <cell r="B762">
            <v>78</v>
          </cell>
          <cell r="C762">
            <v>0</v>
          </cell>
        </row>
        <row r="763">
          <cell r="A763" t="str">
            <v>Ruth Helen Norquoy - 684 - Childminder</v>
          </cell>
          <cell r="B763">
            <v>0</v>
          </cell>
          <cell r="C763">
            <v>0</v>
          </cell>
        </row>
        <row r="764">
          <cell r="A764" t="str">
            <v>Ryefield Primary School - Extended Hours - 3639 - Schools - Extended Hours</v>
          </cell>
          <cell r="B764">
            <v>120</v>
          </cell>
          <cell r="C764">
            <v>1170</v>
          </cell>
        </row>
        <row r="765">
          <cell r="A765" t="str">
            <v>Sakina Ebrahimji - 557 - Childminder</v>
          </cell>
          <cell r="B765">
            <v>0</v>
          </cell>
          <cell r="C765">
            <v>0</v>
          </cell>
        </row>
        <row r="766">
          <cell r="A766" t="str">
            <v>Samantha Hogan - 3303 - Childminder</v>
          </cell>
          <cell r="B766">
            <v>0</v>
          </cell>
          <cell r="C766">
            <v>225</v>
          </cell>
        </row>
        <row r="767">
          <cell r="A767" t="str">
            <v>Sandra Jane Joyce - 2237 - Childminder</v>
          </cell>
          <cell r="B767">
            <v>0</v>
          </cell>
          <cell r="C767">
            <v>0</v>
          </cell>
        </row>
        <row r="768">
          <cell r="A768" t="str">
            <v>Sandra Jane Michaelson - 2094 - Childminder</v>
          </cell>
          <cell r="B768">
            <v>390</v>
          </cell>
          <cell r="C768">
            <v>195</v>
          </cell>
        </row>
        <row r="769">
          <cell r="A769" t="str">
            <v>Sarah Elizabeth Francis - 3522 - Childminder</v>
          </cell>
          <cell r="B769">
            <v>195</v>
          </cell>
          <cell r="C769">
            <v>195</v>
          </cell>
        </row>
        <row r="770">
          <cell r="A770" t="str">
            <v>Sarah Louise Farren - 715 - Childminder</v>
          </cell>
          <cell r="B770">
            <v>0</v>
          </cell>
          <cell r="C770">
            <v>0</v>
          </cell>
        </row>
        <row r="771">
          <cell r="A771" t="str">
            <v>Sarah Louise Pearce - 735 - Childminder</v>
          </cell>
          <cell r="B771">
            <v>0</v>
          </cell>
          <cell r="C771">
            <v>0</v>
          </cell>
        </row>
        <row r="772">
          <cell r="A772" t="str">
            <v>Sarah Lyn Bradshaw - 538 - Childminder</v>
          </cell>
          <cell r="B772">
            <v>0</v>
          </cell>
          <cell r="C772">
            <v>195</v>
          </cell>
        </row>
        <row r="773">
          <cell r="A773" t="str">
            <v>Sarah Moseley - 263 - Childminder</v>
          </cell>
          <cell r="B773">
            <v>195</v>
          </cell>
          <cell r="C773">
            <v>0</v>
          </cell>
        </row>
        <row r="774">
          <cell r="A774" t="str">
            <v>Sarah Paterson - 679 - Childminder</v>
          </cell>
          <cell r="B774">
            <v>0</v>
          </cell>
          <cell r="C774">
            <v>582</v>
          </cell>
        </row>
        <row r="775">
          <cell r="A775" t="str">
            <v>Seeta Chopra - 472 - Childminder</v>
          </cell>
          <cell r="B775">
            <v>0</v>
          </cell>
          <cell r="C775">
            <v>375</v>
          </cell>
        </row>
        <row r="776">
          <cell r="A776" t="str">
            <v>Shabana Nawaz - 763 - Childminder</v>
          </cell>
          <cell r="B776">
            <v>0</v>
          </cell>
          <cell r="C776">
            <v>0</v>
          </cell>
        </row>
        <row r="777">
          <cell r="A777" t="str">
            <v>Sharon Briggs - 240 - Childminder</v>
          </cell>
          <cell r="B777">
            <v>0</v>
          </cell>
          <cell r="C777">
            <v>0</v>
          </cell>
        </row>
        <row r="778">
          <cell r="A778" t="str">
            <v>Sharon Louise Smith - 2184 - Childminder</v>
          </cell>
          <cell r="B778">
            <v>0</v>
          </cell>
          <cell r="C778">
            <v>0</v>
          </cell>
        </row>
        <row r="779">
          <cell r="A779" t="str">
            <v>Sharon Patricia Jerome - 3504 - Childminder</v>
          </cell>
          <cell r="B779">
            <v>0</v>
          </cell>
          <cell r="C779">
            <v>0</v>
          </cell>
        </row>
        <row r="780">
          <cell r="A780" t="str">
            <v>Shepherds Hill Nursery - 812 - Day nursery</v>
          </cell>
          <cell r="B780">
            <v>3285</v>
          </cell>
          <cell r="C780">
            <v>2815</v>
          </cell>
        </row>
        <row r="781">
          <cell r="A781" t="str">
            <v>Sherene Althea Rutherford - 3477 - Childminder</v>
          </cell>
          <cell r="B781">
            <v>0</v>
          </cell>
          <cell r="C781">
            <v>0</v>
          </cell>
        </row>
        <row r="782">
          <cell r="A782" t="str">
            <v>Shilpa Kheria - 3757 - Childminder</v>
          </cell>
          <cell r="B782">
            <v>195</v>
          </cell>
          <cell r="C782">
            <v>0</v>
          </cell>
        </row>
        <row r="783">
          <cell r="A783" t="str">
            <v>Shogufta Nargis - 2241 - Childminder</v>
          </cell>
          <cell r="B783">
            <v>0</v>
          </cell>
          <cell r="C783">
            <v>0</v>
          </cell>
        </row>
        <row r="784">
          <cell r="A784" t="str">
            <v>Siobhan Mary Chatburn - 581 - Childminder</v>
          </cell>
          <cell r="B784">
            <v>195</v>
          </cell>
          <cell r="C784">
            <v>195</v>
          </cell>
        </row>
        <row r="785">
          <cell r="A785" t="str">
            <v>Smarty's Nursery - 3471 - Day nursery</v>
          </cell>
          <cell r="B785">
            <v>1590</v>
          </cell>
          <cell r="C785">
            <v>195</v>
          </cell>
        </row>
        <row r="786">
          <cell r="A786" t="str">
            <v>Smarty's Nursery - 644 - Day nursery</v>
          </cell>
          <cell r="B786">
            <v>4095</v>
          </cell>
          <cell r="C786">
            <v>1170</v>
          </cell>
        </row>
        <row r="787">
          <cell r="A787" t="str">
            <v>Smarty's Nursery North Hayes - 3736 - Day nursery</v>
          </cell>
          <cell r="B787">
            <v>1365</v>
          </cell>
          <cell r="C787">
            <v>195</v>
          </cell>
        </row>
        <row r="788">
          <cell r="A788" t="str">
            <v>Sonia Louise Jarvis - 2322 - Childminder</v>
          </cell>
          <cell r="B788">
            <v>0</v>
          </cell>
          <cell r="C788">
            <v>0</v>
          </cell>
        </row>
        <row r="789">
          <cell r="A789" t="str">
            <v>South Ruislip Early Years &amp; Children's Centre - 2311 - Day nursery</v>
          </cell>
          <cell r="B789">
            <v>1681</v>
          </cell>
          <cell r="C789">
            <v>645</v>
          </cell>
        </row>
        <row r="790">
          <cell r="A790" t="str">
            <v>St Helen's College Limited - 273 - Nursery Units of Independent Schools</v>
          </cell>
          <cell r="B790">
            <v>17940</v>
          </cell>
          <cell r="C790">
            <v>12494</v>
          </cell>
        </row>
        <row r="791">
          <cell r="A791" t="str">
            <v>St Johns School - 277 - Nursery Units of Independent Schools</v>
          </cell>
          <cell r="B791">
            <v>9945</v>
          </cell>
          <cell r="C791">
            <v>0</v>
          </cell>
        </row>
        <row r="792">
          <cell r="A792" t="str">
            <v>St Martins Kindergarten - 249 - Nursery Units of Independent Schools</v>
          </cell>
          <cell r="B792">
            <v>15990</v>
          </cell>
          <cell r="C792">
            <v>0</v>
          </cell>
        </row>
        <row r="793">
          <cell r="A793" t="str">
            <v>St Martin's School - Extended Hours - 3894 - Schools - Extended Hours</v>
          </cell>
          <cell r="B793">
            <v>0</v>
          </cell>
          <cell r="C793">
            <v>0</v>
          </cell>
        </row>
        <row r="794">
          <cell r="A794" t="str">
            <v>St Vincent's Nursery Ltd - 816 - Day nursery</v>
          </cell>
          <cell r="B794">
            <v>3315</v>
          </cell>
          <cell r="C794">
            <v>2535</v>
          </cell>
        </row>
        <row r="795">
          <cell r="A795" t="str">
            <v>Stepping Stones Nursery - 3332 - Day nursery</v>
          </cell>
          <cell r="B795">
            <v>2910</v>
          </cell>
          <cell r="C795">
            <v>0</v>
          </cell>
        </row>
        <row r="796">
          <cell r="A796" t="str">
            <v>Sunflower House Nursery - 2210 - Day nursery</v>
          </cell>
          <cell r="B796">
            <v>0</v>
          </cell>
          <cell r="C796">
            <v>0</v>
          </cell>
        </row>
        <row r="797">
          <cell r="A797" t="str">
            <v>Sunflower House Nursery Cowley - 3651 - Day nursery</v>
          </cell>
          <cell r="B797">
            <v>3510</v>
          </cell>
          <cell r="C797">
            <v>1170</v>
          </cell>
        </row>
        <row r="798">
          <cell r="A798" t="str">
            <v>Sunflower House Nursery Wentworth - 3825 - Day nursery</v>
          </cell>
          <cell r="B798">
            <v>0</v>
          </cell>
          <cell r="C798">
            <v>0</v>
          </cell>
        </row>
        <row r="799">
          <cell r="A799" t="str">
            <v>Sunflower House Nursery-Hillingdon - 3833 - Day nursery</v>
          </cell>
          <cell r="B799">
            <v>3375</v>
          </cell>
          <cell r="C799">
            <v>390</v>
          </cell>
        </row>
        <row r="800">
          <cell r="A800" t="str">
            <v>Susannah Clare Nowlan - 696 - Childminder</v>
          </cell>
          <cell r="B800">
            <v>0</v>
          </cell>
          <cell r="C800">
            <v>195</v>
          </cell>
        </row>
        <row r="801">
          <cell r="A801" t="str">
            <v>Sushila Parekh - 669 - Childminder</v>
          </cell>
          <cell r="B801">
            <v>0</v>
          </cell>
          <cell r="C801">
            <v>0</v>
          </cell>
        </row>
        <row r="802">
          <cell r="A802" t="str">
            <v>Suzanne Kay Page - 327 - Childminder</v>
          </cell>
          <cell r="B802">
            <v>195</v>
          </cell>
          <cell r="C802">
            <v>0</v>
          </cell>
        </row>
        <row r="803">
          <cell r="A803" t="str">
            <v>Suzanne Morris - 394 - Childminder</v>
          </cell>
          <cell r="B803">
            <v>0</v>
          </cell>
          <cell r="C803">
            <v>0</v>
          </cell>
        </row>
        <row r="804">
          <cell r="A804" t="str">
            <v>Sweetcroft Day Care - 800 - Day nursery</v>
          </cell>
          <cell r="B804">
            <v>2730</v>
          </cell>
          <cell r="C804">
            <v>2340</v>
          </cell>
        </row>
        <row r="805">
          <cell r="A805" t="str">
            <v>Synergy - 3851 - Childminder</v>
          </cell>
          <cell r="B805">
            <v>0</v>
          </cell>
          <cell r="C805">
            <v>0</v>
          </cell>
        </row>
        <row r="806">
          <cell r="A806" t="str">
            <v>Tahmina Khatun Mahmud - 2365 - Childminder</v>
          </cell>
          <cell r="B806">
            <v>0</v>
          </cell>
          <cell r="C806">
            <v>0</v>
          </cell>
        </row>
        <row r="807">
          <cell r="A807" t="str">
            <v>Tammy Louise Jones - 608 - Childminder</v>
          </cell>
          <cell r="B807">
            <v>0</v>
          </cell>
          <cell r="C807">
            <v>0</v>
          </cell>
        </row>
        <row r="808">
          <cell r="A808" t="str">
            <v>Tara Jane Perrett - 388 - Childminder</v>
          </cell>
          <cell r="B808">
            <v>191.5</v>
          </cell>
          <cell r="C808">
            <v>0</v>
          </cell>
        </row>
        <row r="809">
          <cell r="A809" t="str">
            <v>Tara Kindergarden Uxbridge - 889 - Day nursery</v>
          </cell>
          <cell r="B809">
            <v>2670</v>
          </cell>
          <cell r="C809">
            <v>1365</v>
          </cell>
        </row>
        <row r="810">
          <cell r="A810" t="str">
            <v>Tarbiyyah Primary School - 3672 - Nursery Units of Independent Schools</v>
          </cell>
          <cell r="B810">
            <v>0</v>
          </cell>
          <cell r="C810">
            <v>0</v>
          </cell>
        </row>
        <row r="811">
          <cell r="A811" t="str">
            <v>Teasel Nursery School-on-the-Marina - 3270 - Day nursery</v>
          </cell>
          <cell r="B811">
            <v>5115</v>
          </cell>
          <cell r="C811">
            <v>2490</v>
          </cell>
        </row>
        <row r="812">
          <cell r="A812" t="str">
            <v>The Co-operative Childcare Heathrow - 861 - Day nursery</v>
          </cell>
          <cell r="B812">
            <v>0</v>
          </cell>
          <cell r="C812">
            <v>0</v>
          </cell>
        </row>
        <row r="813">
          <cell r="A813" t="str">
            <v>The Growing Tree Nursery - 799 - Day nursery</v>
          </cell>
          <cell r="B813">
            <v>7995</v>
          </cell>
          <cell r="C813">
            <v>5590</v>
          </cell>
        </row>
        <row r="814">
          <cell r="A814" t="str">
            <v>The Hall School (within the Grange) - 261 - Nursery Units of Independent Schools</v>
          </cell>
          <cell r="B814">
            <v>3420</v>
          </cell>
          <cell r="C814">
            <v>0</v>
          </cell>
        </row>
        <row r="815">
          <cell r="A815" t="str">
            <v>The Homestead Childcare - 3770 - Day nursery</v>
          </cell>
          <cell r="B815">
            <v>384</v>
          </cell>
          <cell r="C815">
            <v>0</v>
          </cell>
        </row>
        <row r="816">
          <cell r="A816" t="str">
            <v>The Little Learners Montessori Northwood - 3544 - Day nursery</v>
          </cell>
          <cell r="B816">
            <v>1635</v>
          </cell>
          <cell r="C816">
            <v>1005</v>
          </cell>
        </row>
        <row r="817">
          <cell r="A817" t="str">
            <v>The Young Ones Ltd - 883 - Day nursery</v>
          </cell>
          <cell r="B817">
            <v>1864</v>
          </cell>
          <cell r="C817">
            <v>1369</v>
          </cell>
        </row>
        <row r="818">
          <cell r="A818" t="str">
            <v>Tinies Nursery Northwood - 3820 - Day nursery</v>
          </cell>
          <cell r="B818">
            <v>3315</v>
          </cell>
          <cell r="C818">
            <v>1755</v>
          </cell>
        </row>
        <row r="819">
          <cell r="A819" t="str">
            <v>Tiny Gems Day Care - 3299 - Day nursery</v>
          </cell>
          <cell r="B819">
            <v>2535</v>
          </cell>
          <cell r="C819">
            <v>975</v>
          </cell>
        </row>
        <row r="820">
          <cell r="A820" t="str">
            <v>Tracy Patricia Hutchinson - 331 - Childminder</v>
          </cell>
          <cell r="B820">
            <v>0</v>
          </cell>
          <cell r="C820">
            <v>0</v>
          </cell>
        </row>
        <row r="821">
          <cell r="A821" t="str">
            <v>Tresha Gockelen-MacDougall - 487 - Childminder</v>
          </cell>
          <cell r="B821">
            <v>0</v>
          </cell>
          <cell r="C821">
            <v>0</v>
          </cell>
        </row>
        <row r="822">
          <cell r="A822" t="str">
            <v>Turner, Karen Shirley - 3789 - Childminder</v>
          </cell>
          <cell r="B822">
            <v>0</v>
          </cell>
          <cell r="C822">
            <v>0</v>
          </cell>
        </row>
        <row r="823">
          <cell r="A823" t="str">
            <v>Twinkle Stars Montessori Nursery - 2153 - Day nursery</v>
          </cell>
          <cell r="B823">
            <v>5884</v>
          </cell>
          <cell r="C823">
            <v>840</v>
          </cell>
        </row>
        <row r="824">
          <cell r="A824" t="str">
            <v>Twinkletotz Day Nursery Ltd - 2262 - Day nursery</v>
          </cell>
          <cell r="B824">
            <v>1755</v>
          </cell>
          <cell r="C824">
            <v>390</v>
          </cell>
        </row>
        <row r="825">
          <cell r="A825" t="str">
            <v>Uxbridge Early Years Centre - 875 - Day nursery</v>
          </cell>
          <cell r="B825">
            <v>1887</v>
          </cell>
          <cell r="C825">
            <v>1056</v>
          </cell>
        </row>
        <row r="826">
          <cell r="A826" t="str">
            <v>Veena Majothi - 3780 - Childminder</v>
          </cell>
          <cell r="B826">
            <v>0</v>
          </cell>
          <cell r="C826">
            <v>0</v>
          </cell>
        </row>
        <row r="827">
          <cell r="A827" t="str">
            <v>Veronica Ellen Luke - 505 - Childminder</v>
          </cell>
          <cell r="B827">
            <v>0</v>
          </cell>
          <cell r="C827">
            <v>0</v>
          </cell>
        </row>
        <row r="828">
          <cell r="A828" t="str">
            <v>Webb, Sharon Ann - 556 - Childminder</v>
          </cell>
          <cell r="B828">
            <v>0</v>
          </cell>
          <cell r="C828">
            <v>0</v>
          </cell>
        </row>
        <row r="829">
          <cell r="A829" t="str">
            <v>Wendy Alice Clear - 612 - Childminder</v>
          </cell>
          <cell r="B829">
            <v>195</v>
          </cell>
          <cell r="C829">
            <v>0</v>
          </cell>
        </row>
        <row r="830">
          <cell r="A830" t="str">
            <v>Wendy Heather Doster - 637 - Childminder</v>
          </cell>
          <cell r="B830">
            <v>0</v>
          </cell>
          <cell r="C830">
            <v>0</v>
          </cell>
        </row>
        <row r="831">
          <cell r="A831" t="str">
            <v>Wetherby House Montessori Ltd - 3806 - Day nursery</v>
          </cell>
          <cell r="B831">
            <v>3510</v>
          </cell>
          <cell r="C831">
            <v>390</v>
          </cell>
        </row>
        <row r="832">
          <cell r="A832" t="str">
            <v>White House Nursery - 871 - Day nursery</v>
          </cell>
          <cell r="B832">
            <v>1170</v>
          </cell>
          <cell r="C832">
            <v>1365</v>
          </cell>
        </row>
        <row r="833">
          <cell r="A833" t="str">
            <v>Whiteheath Infant School - 3794 - Day nursery</v>
          </cell>
          <cell r="B833">
            <v>0</v>
          </cell>
          <cell r="C833">
            <v>0</v>
          </cell>
        </row>
        <row r="834">
          <cell r="A834" t="str">
            <v>Wilcox, Kelly - 3686 - Childminder</v>
          </cell>
          <cell r="B834">
            <v>0</v>
          </cell>
          <cell r="C834">
            <v>0</v>
          </cell>
        </row>
        <row r="835">
          <cell r="A835" t="str">
            <v>Wonderland Nursery Ltd - 832 - Day nursery</v>
          </cell>
          <cell r="B835">
            <v>2400</v>
          </cell>
          <cell r="C835">
            <v>780</v>
          </cell>
        </row>
        <row r="836">
          <cell r="A836" t="str">
            <v>Wonderland Nursery Ltd - 877 - Day nursery</v>
          </cell>
          <cell r="B836">
            <v>1365</v>
          </cell>
          <cell r="C836">
            <v>390</v>
          </cell>
        </row>
        <row r="837">
          <cell r="A837" t="str">
            <v>Woodlands Nursery - 868 - Day nursery</v>
          </cell>
          <cell r="B837">
            <v>4290</v>
          </cell>
          <cell r="C837">
            <v>2990</v>
          </cell>
        </row>
        <row r="838">
          <cell r="A838" t="str">
            <v>Woodlodge Montessori School - 2366 - Day nursery</v>
          </cell>
          <cell r="B838">
            <v>3047</v>
          </cell>
          <cell r="C838">
            <v>2077</v>
          </cell>
        </row>
        <row r="839">
          <cell r="A839" t="str">
            <v>Yasmine Ahmed Bashe - 3479 - Childminder</v>
          </cell>
          <cell r="B839">
            <v>195</v>
          </cell>
          <cell r="C839">
            <v>195</v>
          </cell>
        </row>
        <row r="840">
          <cell r="A840" t="str">
            <v>Zahida Ahmed - 53 - Childminder</v>
          </cell>
          <cell r="B840">
            <v>195</v>
          </cell>
          <cell r="C840">
            <v>195</v>
          </cell>
        </row>
        <row r="841">
          <cell r="A841" t="str">
            <v>Zuzana Miranda - 755 - Childminder</v>
          </cell>
          <cell r="B841">
            <v>0</v>
          </cell>
          <cell r="C841">
            <v>0</v>
          </cell>
        </row>
        <row r="842">
          <cell r="A842" t="str">
            <v>Hungry Caterpillar Day Nurseries - Yeading - 825 - Day nursery</v>
          </cell>
          <cell r="B842">
            <v>1095</v>
          </cell>
          <cell r="C842">
            <v>0</v>
          </cell>
        </row>
        <row r="843">
          <cell r="A843" t="str">
            <v>Smarty's Nursery - Ruislip - 644 - Day nursery</v>
          </cell>
          <cell r="B843">
            <v>195</v>
          </cell>
          <cell r="C843">
            <v>195</v>
          </cell>
        </row>
        <row r="844">
          <cell r="A844" t="str">
            <v>The Eye Nursery Limited - 306 - Day nursery</v>
          </cell>
          <cell r="B844">
            <v>195</v>
          </cell>
          <cell r="C84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B1:G36"/>
  <sheetViews>
    <sheetView zoomScalePageLayoutView="0" workbookViewId="0" topLeftCell="A1">
      <selection activeCell="C6" sqref="C6"/>
    </sheetView>
  </sheetViews>
  <sheetFormatPr defaultColWidth="9.140625" defaultRowHeight="12.75"/>
  <cols>
    <col min="1" max="1" width="2.7109375" style="83" customWidth="1"/>
    <col min="2" max="2" width="16.421875" style="84" customWidth="1"/>
    <col min="3" max="3" width="104.00390625" style="83" customWidth="1"/>
    <col min="4" max="16384" width="9.140625" style="83" customWidth="1"/>
  </cols>
  <sheetData>
    <row r="1" ht="15.75">
      <c r="B1" s="105" t="s">
        <v>141</v>
      </c>
    </row>
    <row r="2" ht="13.5" thickBot="1"/>
    <row r="3" spans="2:3" s="96" customFormat="1" ht="13.5" thickBot="1">
      <c r="B3" s="279" t="s">
        <v>142</v>
      </c>
      <c r="C3" s="281"/>
    </row>
    <row r="4" spans="2:3" ht="26.25" thickBot="1">
      <c r="B4" s="85"/>
      <c r="C4" s="214" t="s">
        <v>244</v>
      </c>
    </row>
    <row r="5" spans="2:7" ht="141.75" customHeight="1">
      <c r="B5" s="131"/>
      <c r="C5" s="215" t="s">
        <v>245</v>
      </c>
      <c r="G5" s="202"/>
    </row>
    <row r="6" spans="2:7" ht="90" customHeight="1">
      <c r="B6" s="86"/>
      <c r="C6" s="87" t="s">
        <v>246</v>
      </c>
      <c r="G6" s="202"/>
    </row>
    <row r="7" spans="2:7" ht="63.75">
      <c r="B7" s="86">
        <v>1</v>
      </c>
      <c r="C7" s="87" t="s">
        <v>258</v>
      </c>
      <c r="G7" s="202"/>
    </row>
    <row r="8" spans="2:3" ht="139.5" customHeight="1">
      <c r="B8" s="86">
        <v>2</v>
      </c>
      <c r="C8" s="87" t="s">
        <v>257</v>
      </c>
    </row>
    <row r="9" spans="2:3" ht="25.5" customHeight="1">
      <c r="B9" s="86">
        <v>3</v>
      </c>
      <c r="C9" s="87" t="s">
        <v>208</v>
      </c>
    </row>
    <row r="10" spans="2:3" ht="42" customHeight="1">
      <c r="B10" s="86">
        <v>4</v>
      </c>
      <c r="C10" s="87" t="s">
        <v>247</v>
      </c>
    </row>
    <row r="11" spans="2:3" ht="53.25" customHeight="1">
      <c r="B11" s="86">
        <v>5</v>
      </c>
      <c r="C11" s="87" t="s">
        <v>248</v>
      </c>
    </row>
    <row r="12" spans="2:3" ht="41.25" customHeight="1">
      <c r="B12" s="86">
        <v>6</v>
      </c>
      <c r="C12" s="87" t="s">
        <v>242</v>
      </c>
    </row>
    <row r="13" spans="2:3" ht="66" customHeight="1">
      <c r="B13" s="86">
        <v>7</v>
      </c>
      <c r="C13" s="87" t="s">
        <v>249</v>
      </c>
    </row>
    <row r="14" spans="2:3" ht="43.5" customHeight="1">
      <c r="B14" s="86">
        <v>8</v>
      </c>
      <c r="C14" s="87" t="s">
        <v>250</v>
      </c>
    </row>
    <row r="15" spans="2:3" ht="81.75" customHeight="1">
      <c r="B15" s="86">
        <v>9</v>
      </c>
      <c r="C15" s="87" t="s">
        <v>251</v>
      </c>
    </row>
    <row r="16" spans="2:3" ht="26.25" thickBot="1">
      <c r="B16" s="88">
        <v>10</v>
      </c>
      <c r="C16" s="89" t="s">
        <v>243</v>
      </c>
    </row>
    <row r="17" spans="2:3" ht="13.5" thickBot="1">
      <c r="B17" s="193"/>
      <c r="C17" s="194"/>
    </row>
    <row r="18" spans="2:3" ht="13.5" thickBot="1">
      <c r="B18" s="279" t="s">
        <v>157</v>
      </c>
      <c r="C18" s="280"/>
    </row>
    <row r="19" spans="2:5" s="96" customFormat="1" ht="51.75" thickBot="1">
      <c r="B19" s="131">
        <v>11</v>
      </c>
      <c r="C19" s="216" t="s">
        <v>473</v>
      </c>
      <c r="E19" s="222"/>
    </row>
    <row r="20" spans="2:5" s="96" customFormat="1" ht="38.25">
      <c r="B20" s="304">
        <v>12</v>
      </c>
      <c r="C20" s="216" t="s">
        <v>472</v>
      </c>
      <c r="E20" s="222"/>
    </row>
    <row r="21" spans="2:3" ht="65.25" customHeight="1">
      <c r="B21" s="86">
        <v>13</v>
      </c>
      <c r="C21" s="217" t="s">
        <v>480</v>
      </c>
    </row>
    <row r="22" spans="2:3" ht="64.5" thickBot="1">
      <c r="B22" s="88">
        <v>14</v>
      </c>
      <c r="C22" s="218" t="s">
        <v>474</v>
      </c>
    </row>
    <row r="23" spans="2:3" ht="63.75">
      <c r="B23" s="86">
        <v>15</v>
      </c>
      <c r="C23" s="407" t="s">
        <v>573</v>
      </c>
    </row>
    <row r="25" spans="2:3" ht="13.5" thickBot="1">
      <c r="B25" s="421" t="s">
        <v>591</v>
      </c>
      <c r="C25" s="422"/>
    </row>
    <row r="26" spans="2:3" ht="51">
      <c r="B26" s="131">
        <v>16</v>
      </c>
      <c r="C26" s="423" t="s">
        <v>626</v>
      </c>
    </row>
    <row r="27" spans="2:3" ht="63.75">
      <c r="B27" s="86">
        <v>17</v>
      </c>
      <c r="C27" s="407" t="s">
        <v>625</v>
      </c>
    </row>
    <row r="28" spans="2:3" ht="51">
      <c r="B28" s="86">
        <v>18</v>
      </c>
      <c r="C28" s="407" t="s">
        <v>627</v>
      </c>
    </row>
    <row r="29" spans="2:3" ht="51">
      <c r="B29" s="86">
        <v>19</v>
      </c>
      <c r="C29" s="407" t="s">
        <v>628</v>
      </c>
    </row>
    <row r="30" spans="2:3" ht="64.5" thickBot="1">
      <c r="B30" s="88">
        <v>20</v>
      </c>
      <c r="C30" s="424" t="s">
        <v>629</v>
      </c>
    </row>
    <row r="31" spans="2:3" ht="13.5" thickBot="1">
      <c r="B31" s="421"/>
      <c r="C31" s="422"/>
    </row>
    <row r="32" spans="2:3" ht="26.25" thickBot="1">
      <c r="B32" s="429" t="s">
        <v>595</v>
      </c>
      <c r="C32" s="426" t="s">
        <v>596</v>
      </c>
    </row>
    <row r="33" ht="13.5" thickBot="1"/>
    <row r="34" spans="2:3" ht="39" thickBot="1">
      <c r="B34" s="425">
        <v>23</v>
      </c>
      <c r="C34" s="427" t="s">
        <v>592</v>
      </c>
    </row>
    <row r="35" ht="13.5" thickBot="1"/>
    <row r="36" spans="2:3" ht="26.25" thickBot="1">
      <c r="B36" s="428" t="s">
        <v>593</v>
      </c>
      <c r="C36" s="426" t="s">
        <v>594</v>
      </c>
    </row>
  </sheetData>
  <sheetProtection sheet="1" objects="1" scenarios="1"/>
  <printOptions/>
  <pageMargins left="0.2362204724409449" right="0.2362204724409449" top="0.4724409448818898" bottom="0.4330708661417323" header="0.2755905511811024" footer="0.2362204724409449"/>
  <pageSetup fitToHeight="2" horizontalDpi="600" verticalDpi="600" orientation="portrait" paperSize="9" scale="84" r:id="rId1"/>
  <rowBreaks count="1" manualBreakCount="1">
    <brk id="16" min="1" max="2" man="1"/>
  </rowBreaks>
</worksheet>
</file>

<file path=xl/worksheets/sheet2.xml><?xml version="1.0" encoding="utf-8"?>
<worksheet xmlns="http://schemas.openxmlformats.org/spreadsheetml/2006/main" xmlns:r="http://schemas.openxmlformats.org/officeDocument/2006/relationships">
  <sheetPr>
    <tabColor indexed="47"/>
    <pageSetUpPr fitToPage="1"/>
  </sheetPr>
  <dimension ref="A1:N94"/>
  <sheetViews>
    <sheetView tabSelected="1" zoomScalePageLayoutView="0" workbookViewId="0" topLeftCell="A1">
      <selection activeCell="L21" sqref="L21"/>
    </sheetView>
  </sheetViews>
  <sheetFormatPr defaultColWidth="9.140625" defaultRowHeight="12.75"/>
  <cols>
    <col min="1" max="1" width="13.57421875" style="0" customWidth="1"/>
    <col min="2" max="2" width="47.140625" style="0" customWidth="1"/>
    <col min="3" max="3" width="12.28125" style="0" bestFit="1" customWidth="1"/>
    <col min="4" max="4" width="10.28125" style="0" customWidth="1"/>
    <col min="5" max="5" width="21.8515625" style="0" customWidth="1"/>
    <col min="6" max="6" width="3.00390625" style="0" customWidth="1"/>
    <col min="7" max="7" width="6.7109375" style="69" bestFit="1" customWidth="1"/>
    <col min="9" max="9" width="12.28125" style="0" bestFit="1" customWidth="1"/>
    <col min="12" max="12" width="9.140625" style="0" customWidth="1"/>
    <col min="13" max="13" width="36.7109375" style="0" hidden="1" customWidth="1"/>
    <col min="14" max="14" width="9.140625" style="0" hidden="1" customWidth="1"/>
  </cols>
  <sheetData>
    <row r="1" ht="18.75" thickBot="1">
      <c r="B1" s="101"/>
    </row>
    <row r="2" spans="1:2" ht="13.5" thickBot="1">
      <c r="A2" s="5" t="s">
        <v>86</v>
      </c>
      <c r="B2" s="436" t="s">
        <v>103</v>
      </c>
    </row>
    <row r="3" spans="1:14" ht="13.5" thickBot="1">
      <c r="A3" s="5" t="s">
        <v>104</v>
      </c>
      <c r="B3" s="14">
        <f>VLOOKUP(B2,M:N,2,0)</f>
        <v>0</v>
      </c>
      <c r="M3" s="10" t="s">
        <v>103</v>
      </c>
      <c r="N3" s="10"/>
    </row>
    <row r="4" spans="13:14" ht="12.75">
      <c r="M4" s="10" t="s">
        <v>53</v>
      </c>
      <c r="N4" s="213">
        <v>5412</v>
      </c>
    </row>
    <row r="5" spans="2:14" ht="12.75">
      <c r="B5" s="50"/>
      <c r="C5" s="51" t="s">
        <v>78</v>
      </c>
      <c r="D5" s="51" t="s">
        <v>73</v>
      </c>
      <c r="E5" s="51" t="s">
        <v>79</v>
      </c>
      <c r="G5" s="79" t="s">
        <v>115</v>
      </c>
      <c r="M5" s="102" t="s">
        <v>152</v>
      </c>
      <c r="N5" s="213">
        <v>2001</v>
      </c>
    </row>
    <row r="6" spans="2:14" ht="12.75">
      <c r="B6" s="16" t="s">
        <v>75</v>
      </c>
      <c r="C6" s="17">
        <f>'All Schools'!AB3</f>
        <v>3181.513996131403</v>
      </c>
      <c r="D6" s="18" t="e">
        <f>VLOOKUP($B$3,'All Schools'!$A$5:$BW$94,4,0)</f>
        <v>#N/A</v>
      </c>
      <c r="E6" s="19" t="e">
        <f>C6*D6</f>
        <v>#N/A</v>
      </c>
      <c r="G6" s="80">
        <v>1</v>
      </c>
      <c r="M6" s="102" t="s">
        <v>46</v>
      </c>
      <c r="N6" s="213">
        <v>4600</v>
      </c>
    </row>
    <row r="7" spans="2:14" ht="12.75">
      <c r="B7" s="20" t="s">
        <v>76</v>
      </c>
      <c r="C7" s="21">
        <f>'All Schools'!AC3</f>
        <v>4125.339237118363</v>
      </c>
      <c r="D7" s="22" t="e">
        <f>VLOOKUP($B$3,'All Schools'!$A$5:$BW$94,6,0)</f>
        <v>#N/A</v>
      </c>
      <c r="E7" s="23" t="e">
        <f>C7*D7</f>
        <v>#N/A</v>
      </c>
      <c r="G7" s="80">
        <v>1</v>
      </c>
      <c r="I7" s="2"/>
      <c r="M7" s="10" t="s">
        <v>144</v>
      </c>
      <c r="N7" s="213">
        <v>5400</v>
      </c>
    </row>
    <row r="8" spans="2:14" ht="12.75">
      <c r="B8" s="24" t="s">
        <v>77</v>
      </c>
      <c r="C8" s="25">
        <f>'All Schools'!AD3</f>
        <v>4714.670473072015</v>
      </c>
      <c r="D8" s="26" t="e">
        <f>VLOOKUP($B$3,'All Schools'!$A$5:$BW$94,7,0)</f>
        <v>#N/A</v>
      </c>
      <c r="E8" s="27" t="e">
        <f>C8*D8</f>
        <v>#N/A</v>
      </c>
      <c r="G8" s="80">
        <v>1</v>
      </c>
      <c r="I8" s="2"/>
      <c r="M8" s="10" t="s">
        <v>32</v>
      </c>
      <c r="N8" s="213">
        <v>3401</v>
      </c>
    </row>
    <row r="9" spans="2:14" ht="12.75">
      <c r="B9" s="28" t="s">
        <v>64</v>
      </c>
      <c r="C9" s="28"/>
      <c r="D9" s="29" t="e">
        <f>SUM(D6:D8)</f>
        <v>#N/A</v>
      </c>
      <c r="E9" s="30" t="e">
        <f>SUM(E6:E8)</f>
        <v>#N/A</v>
      </c>
      <c r="G9" s="80"/>
      <c r="I9" s="2"/>
      <c r="M9" s="10" t="s">
        <v>7</v>
      </c>
      <c r="N9" s="213">
        <v>2003</v>
      </c>
    </row>
    <row r="10" spans="4:14" ht="12.75">
      <c r="D10" s="9"/>
      <c r="E10" s="1"/>
      <c r="G10" s="81"/>
      <c r="M10" s="10" t="s">
        <v>145</v>
      </c>
      <c r="N10" s="213">
        <v>2002</v>
      </c>
    </row>
    <row r="11" spans="2:14" ht="12.75">
      <c r="B11" s="187" t="s">
        <v>174</v>
      </c>
      <c r="C11" s="17">
        <f>'All Schools'!AE3</f>
        <v>997.84</v>
      </c>
      <c r="D11" s="18" t="e">
        <f>VLOOKUP($B$3,'All Schools'!$A$5:$BW$94,8,0)</f>
        <v>#N/A</v>
      </c>
      <c r="E11" s="19" t="e">
        <f>D11*C11</f>
        <v>#N/A</v>
      </c>
      <c r="G11" s="80">
        <v>2</v>
      </c>
      <c r="I11" s="2"/>
      <c r="M11" s="102" t="s">
        <v>98</v>
      </c>
      <c r="N11" s="213">
        <v>3300</v>
      </c>
    </row>
    <row r="12" spans="2:14" ht="12.75">
      <c r="B12" s="132" t="s">
        <v>175</v>
      </c>
      <c r="C12" s="21">
        <f>'All Schools'!AF3</f>
        <v>1297.17</v>
      </c>
      <c r="D12" s="22" t="e">
        <f>VLOOKUP($B$3,'All Schools'!$A$5:$BW$94,9,0)</f>
        <v>#N/A</v>
      </c>
      <c r="E12" s="23" t="e">
        <f>D12*C12</f>
        <v>#N/A</v>
      </c>
      <c r="G12" s="80">
        <v>2</v>
      </c>
      <c r="I12" s="2"/>
      <c r="M12" s="10" t="s">
        <v>42</v>
      </c>
      <c r="N12" s="213">
        <v>5206</v>
      </c>
    </row>
    <row r="13" spans="2:14" ht="12.75">
      <c r="B13" s="132" t="s">
        <v>176</v>
      </c>
      <c r="C13" s="21">
        <f>'All Schools'!AG3</f>
        <v>65.1</v>
      </c>
      <c r="D13" s="22" t="e">
        <f>VLOOKUP($B$3,'All Schools'!$A$5:$BW$94,10,0)</f>
        <v>#N/A</v>
      </c>
      <c r="E13" s="23" t="e">
        <f aca="true" t="shared" si="0" ref="E13:E29">D13*C13</f>
        <v>#N/A</v>
      </c>
      <c r="G13" s="80">
        <v>2</v>
      </c>
      <c r="I13" s="2"/>
      <c r="M13" s="102" t="s">
        <v>29</v>
      </c>
      <c r="N13" s="213">
        <v>2084</v>
      </c>
    </row>
    <row r="14" spans="2:14" ht="12.75">
      <c r="B14" s="132" t="s">
        <v>177</v>
      </c>
      <c r="C14" s="21">
        <f>'All Schools'!AH3</f>
        <v>130.2</v>
      </c>
      <c r="D14" s="22" t="e">
        <f>VLOOKUP($B$3,'All Schools'!$A$5:$BW$94,11,0)</f>
        <v>#N/A</v>
      </c>
      <c r="E14" s="23" t="e">
        <f t="shared" si="0"/>
        <v>#N/A</v>
      </c>
      <c r="G14" s="80">
        <v>2</v>
      </c>
      <c r="I14" s="2"/>
      <c r="M14" s="102" t="s">
        <v>8</v>
      </c>
      <c r="N14" s="213">
        <v>2010</v>
      </c>
    </row>
    <row r="15" spans="2:14" ht="12.75">
      <c r="B15" s="132" t="s">
        <v>178</v>
      </c>
      <c r="C15" s="21">
        <f>'All Schools'!AI3</f>
        <v>195.3</v>
      </c>
      <c r="D15" s="22" t="e">
        <f>VLOOKUP($B$3,'All Schools'!$A$5:$BW$94,12,0)</f>
        <v>#N/A</v>
      </c>
      <c r="E15" s="23" t="e">
        <f t="shared" si="0"/>
        <v>#N/A</v>
      </c>
      <c r="G15" s="80">
        <v>2</v>
      </c>
      <c r="I15" s="2"/>
      <c r="M15" s="10" t="s">
        <v>10</v>
      </c>
      <c r="N15" s="213">
        <v>2012</v>
      </c>
    </row>
    <row r="16" spans="2:14" ht="12.75">
      <c r="B16" s="132" t="s">
        <v>179</v>
      </c>
      <c r="C16" s="21">
        <f>'All Schools'!AJ3</f>
        <v>260.4</v>
      </c>
      <c r="D16" s="22" t="e">
        <f>VLOOKUP($B$3,'All Schools'!$A$5:$BW$94,13,0)</f>
        <v>#N/A</v>
      </c>
      <c r="E16" s="23" t="e">
        <f t="shared" si="0"/>
        <v>#N/A</v>
      </c>
      <c r="G16" s="80">
        <v>2</v>
      </c>
      <c r="I16" s="2"/>
      <c r="M16" s="10" t="s">
        <v>9</v>
      </c>
      <c r="N16" s="213">
        <v>2011</v>
      </c>
    </row>
    <row r="17" spans="2:14" ht="12.75">
      <c r="B17" s="132" t="s">
        <v>181</v>
      </c>
      <c r="C17" s="21">
        <f>'All Schools'!AK3</f>
        <v>325.5</v>
      </c>
      <c r="D17" s="22" t="e">
        <f>VLOOKUP($B$3,'All Schools'!$A$5:$BW$94,14,0)</f>
        <v>#N/A</v>
      </c>
      <c r="E17" s="23" t="e">
        <f t="shared" si="0"/>
        <v>#N/A</v>
      </c>
      <c r="G17" s="80">
        <v>2</v>
      </c>
      <c r="I17" s="2"/>
      <c r="M17" s="102" t="s">
        <v>128</v>
      </c>
      <c r="N17" s="213">
        <v>3410</v>
      </c>
    </row>
    <row r="18" spans="2:14" ht="12.75">
      <c r="B18" s="132" t="s">
        <v>180</v>
      </c>
      <c r="C18" s="21">
        <f>'All Schools'!AL3</f>
        <v>390.6</v>
      </c>
      <c r="D18" s="22" t="e">
        <f>VLOOKUP($B$3,'All Schools'!$A$5:$BW$94,15,0)</f>
        <v>#N/A</v>
      </c>
      <c r="E18" s="23" t="e">
        <f t="shared" si="0"/>
        <v>#N/A</v>
      </c>
      <c r="G18" s="80">
        <v>2</v>
      </c>
      <c r="I18" s="2"/>
      <c r="M18" s="10" t="s">
        <v>207</v>
      </c>
      <c r="N18" s="213">
        <v>2078</v>
      </c>
    </row>
    <row r="19" spans="2:14" ht="12.75">
      <c r="B19" s="132" t="s">
        <v>182</v>
      </c>
      <c r="C19" s="21">
        <f>'All Schools'!AM3</f>
        <v>84.63</v>
      </c>
      <c r="D19" s="22" t="e">
        <f>VLOOKUP($B$3,'All Schools'!$A$5:$BW$94,16,0)</f>
        <v>#N/A</v>
      </c>
      <c r="E19" s="23" t="e">
        <f t="shared" si="0"/>
        <v>#N/A</v>
      </c>
      <c r="G19" s="80">
        <v>2</v>
      </c>
      <c r="I19" s="2"/>
      <c r="M19" s="10" t="s">
        <v>148</v>
      </c>
      <c r="N19" s="213">
        <v>4009</v>
      </c>
    </row>
    <row r="20" spans="2:14" ht="12.75">
      <c r="B20" s="132" t="s">
        <v>183</v>
      </c>
      <c r="C20" s="21">
        <f>'All Schools'!AN3</f>
        <v>169.26</v>
      </c>
      <c r="D20" s="22" t="e">
        <f>VLOOKUP($B$3,'All Schools'!$A$5:$BW$94,17,0)</f>
        <v>#N/A</v>
      </c>
      <c r="E20" s="23" t="e">
        <f t="shared" si="0"/>
        <v>#N/A</v>
      </c>
      <c r="G20" s="80">
        <v>2</v>
      </c>
      <c r="I20" s="2"/>
      <c r="M20" s="10" t="s">
        <v>11</v>
      </c>
      <c r="N20" s="213">
        <v>2016</v>
      </c>
    </row>
    <row r="21" spans="2:14" ht="12.75">
      <c r="B21" s="132" t="s">
        <v>184</v>
      </c>
      <c r="C21" s="21">
        <f>'All Schools'!AO3</f>
        <v>253.89</v>
      </c>
      <c r="D21" s="22" t="e">
        <f>VLOOKUP($B$3,'All Schools'!$A$5:$BW$94,18,0)</f>
        <v>#N/A</v>
      </c>
      <c r="E21" s="23" t="e">
        <f t="shared" si="0"/>
        <v>#N/A</v>
      </c>
      <c r="G21" s="80">
        <v>2</v>
      </c>
      <c r="I21" s="2"/>
      <c r="M21" s="10" t="s">
        <v>31</v>
      </c>
      <c r="N21" s="213">
        <v>3307</v>
      </c>
    </row>
    <row r="22" spans="2:14" ht="12.75">
      <c r="B22" s="132" t="s">
        <v>185</v>
      </c>
      <c r="C22" s="21">
        <f>'All Schools'!AP3</f>
        <v>338.52</v>
      </c>
      <c r="D22" s="22" t="e">
        <f>VLOOKUP($B$3,'All Schools'!$A$5:$BW$94,19,0)</f>
        <v>#N/A</v>
      </c>
      <c r="E22" s="23" t="e">
        <f t="shared" si="0"/>
        <v>#N/A</v>
      </c>
      <c r="G22" s="80">
        <v>2</v>
      </c>
      <c r="I22" s="2"/>
      <c r="M22" s="95" t="s">
        <v>154</v>
      </c>
      <c r="N22" s="213">
        <v>2019</v>
      </c>
    </row>
    <row r="23" spans="2:14" ht="12.75">
      <c r="B23" s="132" t="s">
        <v>187</v>
      </c>
      <c r="C23" s="21">
        <f>'All Schools'!AQ3</f>
        <v>423.15</v>
      </c>
      <c r="D23" s="22" t="e">
        <f>VLOOKUP($B$3,'All Schools'!$A$5:$BW$94,20,0)</f>
        <v>#N/A</v>
      </c>
      <c r="E23" s="23" t="e">
        <f t="shared" si="0"/>
        <v>#N/A</v>
      </c>
      <c r="G23" s="80">
        <v>2</v>
      </c>
      <c r="I23" s="2"/>
      <c r="M23" s="10" t="s">
        <v>12</v>
      </c>
      <c r="N23" s="213">
        <v>2018</v>
      </c>
    </row>
    <row r="24" spans="2:14" ht="12.75">
      <c r="B24" s="132" t="s">
        <v>186</v>
      </c>
      <c r="C24" s="21">
        <f>'All Schools'!AR3</f>
        <v>507.78</v>
      </c>
      <c r="D24" s="22" t="e">
        <f>VLOOKUP($B$3,'All Schools'!$A$5:$BW$94,21,0)</f>
        <v>#N/A</v>
      </c>
      <c r="E24" s="23" t="e">
        <f t="shared" si="0"/>
        <v>#N/A</v>
      </c>
      <c r="G24" s="80">
        <v>2</v>
      </c>
      <c r="I24" s="2"/>
      <c r="M24" s="10" t="s">
        <v>26</v>
      </c>
      <c r="N24" s="213">
        <v>2076</v>
      </c>
    </row>
    <row r="25" spans="2:14" ht="12.75">
      <c r="B25" s="20" t="s">
        <v>80</v>
      </c>
      <c r="C25" s="21">
        <f>'All Schools'!AS3</f>
        <v>739.08</v>
      </c>
      <c r="D25" s="22" t="e">
        <f>VLOOKUP($B$3,'All Schools'!$A$5:$BW$94,22,0)</f>
        <v>#N/A</v>
      </c>
      <c r="E25" s="23" t="e">
        <f t="shared" si="0"/>
        <v>#N/A</v>
      </c>
      <c r="G25" s="80">
        <v>3</v>
      </c>
      <c r="I25" s="2"/>
      <c r="M25" s="10" t="s">
        <v>13</v>
      </c>
      <c r="N25" s="213">
        <v>2020</v>
      </c>
    </row>
    <row r="26" spans="2:14" ht="12.75">
      <c r="B26" s="20" t="s">
        <v>81</v>
      </c>
      <c r="C26" s="21">
        <f>'All Schools'!AT3</f>
        <v>1113.64</v>
      </c>
      <c r="D26" s="22" t="e">
        <f>VLOOKUP($B$3,'All Schools'!$A$5:$BW$94,23,0)</f>
        <v>#N/A</v>
      </c>
      <c r="E26" s="23" t="e">
        <f t="shared" si="0"/>
        <v>#N/A</v>
      </c>
      <c r="G26" s="80">
        <v>3</v>
      </c>
      <c r="I26" s="2"/>
      <c r="M26" s="94" t="s">
        <v>133</v>
      </c>
      <c r="N26" s="213">
        <v>5203</v>
      </c>
    </row>
    <row r="27" spans="2:14" ht="12.75">
      <c r="B27" s="132" t="s">
        <v>240</v>
      </c>
      <c r="C27" s="21">
        <f>'All Schools'!AU3</f>
        <v>1100</v>
      </c>
      <c r="D27" s="22" t="e">
        <f>VLOOKUP($B$3,'All Schools'!$A$5:$BW$94,24,0)</f>
        <v>#N/A</v>
      </c>
      <c r="E27" s="23" t="e">
        <f t="shared" si="0"/>
        <v>#N/A</v>
      </c>
      <c r="G27" s="80">
        <v>4</v>
      </c>
      <c r="I27" s="2"/>
      <c r="M27" s="102" t="s">
        <v>39</v>
      </c>
      <c r="N27" s="213">
        <v>5202</v>
      </c>
    </row>
    <row r="28" spans="2:14" ht="12.75">
      <c r="B28" s="132" t="s">
        <v>241</v>
      </c>
      <c r="C28" s="21">
        <f>'All Schools'!AV3</f>
        <v>1650</v>
      </c>
      <c r="D28" s="22" t="e">
        <f>VLOOKUP($B$3,'All Schools'!$A$5:$BW$94,25,0)</f>
        <v>#N/A</v>
      </c>
      <c r="E28" s="23" t="e">
        <f t="shared" si="0"/>
        <v>#N/A</v>
      </c>
      <c r="G28" s="80">
        <v>5</v>
      </c>
      <c r="I28" s="2"/>
      <c r="M28" s="10" t="s">
        <v>47</v>
      </c>
      <c r="N28" s="213">
        <v>4654</v>
      </c>
    </row>
    <row r="29" spans="2:14" ht="12.75">
      <c r="B29" s="20" t="s">
        <v>82</v>
      </c>
      <c r="C29" s="21">
        <f>'All Schools'!AW3</f>
        <v>800</v>
      </c>
      <c r="D29" s="22" t="e">
        <f>VLOOKUP($B$3,'All Schools'!$A$5:$BW$94,26,0)</f>
        <v>#N/A</v>
      </c>
      <c r="E29" s="23" t="e">
        <f t="shared" si="0"/>
        <v>#N/A</v>
      </c>
      <c r="G29" s="80">
        <v>6</v>
      </c>
      <c r="I29" s="2"/>
      <c r="M29" s="10" t="s">
        <v>87</v>
      </c>
      <c r="N29" s="213">
        <v>2024</v>
      </c>
    </row>
    <row r="30" spans="2:14" ht="12.75">
      <c r="B30" s="20" t="s">
        <v>83</v>
      </c>
      <c r="C30" s="21">
        <f>'All Schools'!AX3</f>
        <v>1200</v>
      </c>
      <c r="D30" s="22" t="e">
        <f>VLOOKUP($B$3,'All Schools'!$A$5:$BW$94,27,0)</f>
        <v>#N/A</v>
      </c>
      <c r="E30" s="23" t="e">
        <f>D30*C30</f>
        <v>#N/A</v>
      </c>
      <c r="G30" s="80">
        <v>6</v>
      </c>
      <c r="I30" s="2"/>
      <c r="M30" s="102" t="s">
        <v>14</v>
      </c>
      <c r="N30" s="213">
        <v>2023</v>
      </c>
    </row>
    <row r="31" spans="2:14" ht="12.75">
      <c r="B31" s="31" t="s">
        <v>65</v>
      </c>
      <c r="C31" s="31"/>
      <c r="D31" s="31"/>
      <c r="E31" s="32" t="e">
        <f>SUM(E11:E30)</f>
        <v>#N/A</v>
      </c>
      <c r="G31" s="80"/>
      <c r="M31" s="10" t="s">
        <v>130</v>
      </c>
      <c r="N31" s="213">
        <v>5411</v>
      </c>
    </row>
    <row r="32" spans="5:14" ht="12.75">
      <c r="E32" s="1"/>
      <c r="G32" s="81"/>
      <c r="M32" s="10" t="s">
        <v>88</v>
      </c>
      <c r="N32" s="213">
        <v>2025</v>
      </c>
    </row>
    <row r="33" spans="2:14" ht="12.75">
      <c r="B33" s="16" t="s">
        <v>60</v>
      </c>
      <c r="C33" s="17">
        <v>140000</v>
      </c>
      <c r="D33" s="16"/>
      <c r="E33" s="19">
        <f>C33</f>
        <v>140000</v>
      </c>
      <c r="G33" s="80"/>
      <c r="I33" s="2"/>
      <c r="M33" s="10" t="s">
        <v>89</v>
      </c>
      <c r="N33" s="213">
        <v>2026</v>
      </c>
    </row>
    <row r="34" spans="2:14" ht="12.75">
      <c r="B34" s="20" t="s">
        <v>62</v>
      </c>
      <c r="C34" s="21"/>
      <c r="D34" s="20"/>
      <c r="E34" s="23" t="e">
        <f>VLOOKUP($B$3,'All Schools'!$A$5:$BW$94,52,0)</f>
        <v>#N/A</v>
      </c>
      <c r="G34" s="80">
        <v>7</v>
      </c>
      <c r="I34" s="2"/>
      <c r="M34" s="10" t="s">
        <v>100</v>
      </c>
      <c r="N34" s="213">
        <v>5401</v>
      </c>
    </row>
    <row r="35" spans="2:14" ht="12.75">
      <c r="B35" s="132" t="s">
        <v>230</v>
      </c>
      <c r="C35" s="21"/>
      <c r="D35" s="20"/>
      <c r="E35" s="23" t="e">
        <f>VLOOKUP($B$3,'All Schools'!$A$5:$BW$94,53,0)</f>
        <v>#N/A</v>
      </c>
      <c r="G35" s="80">
        <v>7</v>
      </c>
      <c r="M35" s="10" t="s">
        <v>43</v>
      </c>
      <c r="N35" s="213">
        <v>5211</v>
      </c>
    </row>
    <row r="36" spans="2:14" ht="12.75">
      <c r="B36" s="20" t="s">
        <v>84</v>
      </c>
      <c r="C36" s="21"/>
      <c r="D36" s="20"/>
      <c r="E36" s="23" t="e">
        <f>VLOOKUP($B$3,'All Schools'!$A$5:$BW$94,54,0)</f>
        <v>#N/A</v>
      </c>
      <c r="G36" s="80"/>
      <c r="M36" s="102" t="s">
        <v>143</v>
      </c>
      <c r="N36" s="213">
        <v>4002</v>
      </c>
    </row>
    <row r="37" spans="2:14" ht="12.75">
      <c r="B37" s="20" t="s">
        <v>63</v>
      </c>
      <c r="C37" s="21"/>
      <c r="D37" s="20"/>
      <c r="E37" s="23" t="e">
        <f>VLOOKUP($B$3,'All Schools'!$A$5:$BW$94,55,0)</f>
        <v>#N/A</v>
      </c>
      <c r="G37" s="80"/>
      <c r="M37" s="10" t="s">
        <v>90</v>
      </c>
      <c r="N37" s="213">
        <v>2029</v>
      </c>
    </row>
    <row r="38" spans="2:14" ht="12.75">
      <c r="B38" s="134" t="s">
        <v>231</v>
      </c>
      <c r="C38" s="25"/>
      <c r="D38" s="24"/>
      <c r="E38" s="27" t="e">
        <f>VLOOKUP(B3,'All Schools'!A5:BF94,56,0)</f>
        <v>#N/A</v>
      </c>
      <c r="G38" s="80"/>
      <c r="M38" s="102" t="s">
        <v>23</v>
      </c>
      <c r="N38" s="213">
        <v>2061</v>
      </c>
    </row>
    <row r="39" spans="2:14" ht="12.75">
      <c r="B39" s="31" t="s">
        <v>85</v>
      </c>
      <c r="C39" s="31"/>
      <c r="D39" s="31"/>
      <c r="E39" s="32" t="e">
        <f>SUM(E33:E38)</f>
        <v>#N/A</v>
      </c>
      <c r="G39" s="80"/>
      <c r="M39" s="10" t="s">
        <v>51</v>
      </c>
      <c r="N39" s="213">
        <v>5407</v>
      </c>
    </row>
    <row r="40" spans="5:14" ht="12.75">
      <c r="E40" s="1"/>
      <c r="G40" s="81"/>
      <c r="M40" s="102" t="s">
        <v>146</v>
      </c>
      <c r="N40" s="213">
        <v>2021</v>
      </c>
    </row>
    <row r="41" spans="2:14" ht="12.75">
      <c r="B41" s="31" t="s">
        <v>108</v>
      </c>
      <c r="C41" s="31"/>
      <c r="D41" s="31"/>
      <c r="E41" s="32" t="e">
        <f>E9+E31+E39</f>
        <v>#N/A</v>
      </c>
      <c r="G41" s="80"/>
      <c r="M41" s="10" t="s">
        <v>95</v>
      </c>
      <c r="N41" s="213">
        <v>2063</v>
      </c>
    </row>
    <row r="42" spans="5:14" ht="12.75">
      <c r="E42" s="1"/>
      <c r="G42" s="81"/>
      <c r="M42" s="10" t="s">
        <v>28</v>
      </c>
      <c r="N42" s="213">
        <v>2081</v>
      </c>
    </row>
    <row r="43" spans="2:14" ht="12.75">
      <c r="B43" s="16" t="s">
        <v>110</v>
      </c>
      <c r="C43" s="16"/>
      <c r="D43" s="16"/>
      <c r="E43" s="19" t="e">
        <f>VLOOKUP($B$3,'All Schools'!$A$5:$BW$94,64,0)</f>
        <v>#N/A</v>
      </c>
      <c r="G43" s="80">
        <v>8</v>
      </c>
      <c r="M43" s="10" t="s">
        <v>40</v>
      </c>
      <c r="N43" s="213">
        <v>5204</v>
      </c>
    </row>
    <row r="44" spans="2:14" ht="12.75">
      <c r="B44" s="132" t="s">
        <v>232</v>
      </c>
      <c r="C44" s="20"/>
      <c r="D44" s="20"/>
      <c r="E44" s="23" t="e">
        <f>VLOOKUP($B$3,'All Schools'!$A$5:$BW$94,65,0)</f>
        <v>#N/A</v>
      </c>
      <c r="G44" s="80">
        <v>8</v>
      </c>
      <c r="M44" s="10" t="s">
        <v>41</v>
      </c>
      <c r="N44" s="213">
        <v>5205</v>
      </c>
    </row>
    <row r="45" spans="2:14" ht="12.75">
      <c r="B45" s="132" t="s">
        <v>188</v>
      </c>
      <c r="C45" s="20"/>
      <c r="D45" s="20"/>
      <c r="E45" s="23" t="e">
        <f>VLOOKUP($B$3,'All Schools'!$A$5:$BW$94,66,0)</f>
        <v>#N/A</v>
      </c>
      <c r="G45" s="80">
        <v>8</v>
      </c>
      <c r="M45" s="10" t="s">
        <v>30</v>
      </c>
      <c r="N45" s="213">
        <v>3302</v>
      </c>
    </row>
    <row r="46" spans="2:14" ht="12.75">
      <c r="B46" s="20" t="s">
        <v>111</v>
      </c>
      <c r="C46" s="20"/>
      <c r="D46" s="20"/>
      <c r="E46" s="33" t="e">
        <f>VLOOKUP($B$3,'All Schools'!$A$5:$BW$94,67,0)</f>
        <v>#N/A</v>
      </c>
      <c r="G46" s="80">
        <v>9</v>
      </c>
      <c r="M46" s="10" t="s">
        <v>136</v>
      </c>
      <c r="N46" s="213">
        <v>2027</v>
      </c>
    </row>
    <row r="47" spans="2:14" ht="12.75">
      <c r="B47" s="20" t="s">
        <v>112</v>
      </c>
      <c r="C47" s="23"/>
      <c r="D47" s="20"/>
      <c r="E47" s="33" t="e">
        <f>VLOOKUP($B$3,'All Schools'!$A$5:$BW$94,68,0)</f>
        <v>#N/A</v>
      </c>
      <c r="G47" s="82">
        <v>9</v>
      </c>
      <c r="M47" s="102" t="s">
        <v>15</v>
      </c>
      <c r="N47" s="213">
        <v>2033</v>
      </c>
    </row>
    <row r="48" spans="2:14" ht="12.75">
      <c r="B48" s="20" t="s">
        <v>114</v>
      </c>
      <c r="C48" s="23"/>
      <c r="D48" s="20"/>
      <c r="E48" s="23" t="e">
        <f>VLOOKUP($B$3,'All Schools'!$A$5:$BW$94,69,0)</f>
        <v>#N/A</v>
      </c>
      <c r="G48" s="80">
        <v>9</v>
      </c>
      <c r="I48" s="2"/>
      <c r="M48" s="10" t="s">
        <v>91</v>
      </c>
      <c r="N48" s="213">
        <v>2032</v>
      </c>
    </row>
    <row r="49" spans="2:14" ht="12.75">
      <c r="B49" s="31" t="s">
        <v>71</v>
      </c>
      <c r="C49" s="32"/>
      <c r="D49" s="31"/>
      <c r="E49" s="32" t="e">
        <f>E41+E48</f>
        <v>#N/A</v>
      </c>
      <c r="G49" s="80"/>
      <c r="I49" s="2"/>
      <c r="M49" s="10" t="s">
        <v>137</v>
      </c>
      <c r="N49" s="213">
        <v>2028</v>
      </c>
    </row>
    <row r="50" spans="3:14" ht="12.75">
      <c r="C50" s="1"/>
      <c r="E50" s="1"/>
      <c r="G50" s="81"/>
      <c r="M50" s="10" t="s">
        <v>16</v>
      </c>
      <c r="N50" s="213">
        <v>2017</v>
      </c>
    </row>
    <row r="51" spans="2:14" ht="12.75">
      <c r="B51" s="196" t="s">
        <v>209</v>
      </c>
      <c r="C51" s="197">
        <v>1.22</v>
      </c>
      <c r="D51" s="57" t="e">
        <f>D9</f>
        <v>#N/A</v>
      </c>
      <c r="E51" s="195" t="e">
        <f>VLOOKUP($B$3,'All Schools'!$A$5:$BW$94,72,0)</f>
        <v>#N/A</v>
      </c>
      <c r="G51" s="80">
        <v>10</v>
      </c>
      <c r="J51" s="2"/>
      <c r="M51" s="93" t="s">
        <v>93</v>
      </c>
      <c r="N51" s="282">
        <v>2037</v>
      </c>
    </row>
    <row r="52" spans="5:14" ht="13.5" thickBot="1">
      <c r="E52" s="1"/>
      <c r="G52" s="81"/>
      <c r="M52" s="10" t="s">
        <v>92</v>
      </c>
      <c r="N52" s="213">
        <v>2036</v>
      </c>
    </row>
    <row r="53" spans="2:14" ht="13.5" thickBot="1">
      <c r="B53" s="52" t="s">
        <v>132</v>
      </c>
      <c r="C53" s="53"/>
      <c r="D53" s="53"/>
      <c r="E53" s="54" t="e">
        <f>E49-E51</f>
        <v>#N/A</v>
      </c>
      <c r="G53" s="80"/>
      <c r="M53" s="102" t="s">
        <v>138</v>
      </c>
      <c r="N53" s="213">
        <v>2022</v>
      </c>
    </row>
    <row r="54" spans="5:14" ht="12.75">
      <c r="E54" s="1"/>
      <c r="G54" s="81"/>
      <c r="M54" s="102" t="s">
        <v>18</v>
      </c>
      <c r="N54" s="213">
        <v>2039</v>
      </c>
    </row>
    <row r="55" spans="2:14" ht="12.75">
      <c r="B55" s="112" t="s">
        <v>156</v>
      </c>
      <c r="E55" s="1"/>
      <c r="G55" s="81"/>
      <c r="M55" s="10" t="s">
        <v>17</v>
      </c>
      <c r="N55" s="213">
        <v>2038</v>
      </c>
    </row>
    <row r="56" spans="5:14" ht="12.75">
      <c r="E56" s="1"/>
      <c r="G56" s="81"/>
      <c r="M56" s="10" t="s">
        <v>102</v>
      </c>
      <c r="N56" s="213">
        <v>5405</v>
      </c>
    </row>
    <row r="57" spans="2:14" ht="12.75">
      <c r="B57" s="408" t="s">
        <v>471</v>
      </c>
      <c r="C57" s="16"/>
      <c r="D57" s="16"/>
      <c r="E57" s="409" t="e">
        <f>VLOOKUP(B3,'All Schools'!A:CK,75,0)</f>
        <v>#N/A</v>
      </c>
      <c r="G57" s="123">
        <v>11</v>
      </c>
      <c r="M57" s="10" t="s">
        <v>37</v>
      </c>
      <c r="N57" s="213">
        <v>5200</v>
      </c>
    </row>
    <row r="58" spans="2:14" ht="12.75">
      <c r="B58" s="410" t="s">
        <v>470</v>
      </c>
      <c r="C58" s="20"/>
      <c r="D58" s="20"/>
      <c r="E58" s="385" t="e">
        <f>VLOOKUP(B3,'All Schools'!A:CK,76,0)</f>
        <v>#N/A</v>
      </c>
      <c r="G58" s="123">
        <v>12</v>
      </c>
      <c r="M58" s="102" t="s">
        <v>38</v>
      </c>
      <c r="N58" s="213">
        <v>5201</v>
      </c>
    </row>
    <row r="59" spans="2:14" ht="12.75">
      <c r="B59" s="411" t="s">
        <v>150</v>
      </c>
      <c r="C59" s="20"/>
      <c r="D59" s="20"/>
      <c r="E59" s="385" t="e">
        <f>VLOOKUP(B3,'All Schools'!A:CK,77,0)</f>
        <v>#N/A</v>
      </c>
      <c r="G59" s="123">
        <v>13</v>
      </c>
      <c r="M59" s="10" t="s">
        <v>236</v>
      </c>
      <c r="N59" s="213">
        <v>5409</v>
      </c>
    </row>
    <row r="60" spans="2:14" ht="12.75">
      <c r="B60" s="411" t="s">
        <v>222</v>
      </c>
      <c r="C60" s="20"/>
      <c r="D60" s="20"/>
      <c r="E60" s="385" t="e">
        <f>VLOOKUP(B3,'All Schools'!A:CK,78,0)</f>
        <v>#N/A</v>
      </c>
      <c r="G60" s="123">
        <v>13</v>
      </c>
      <c r="M60" s="10" t="s">
        <v>214</v>
      </c>
      <c r="N60" s="213">
        <v>4021</v>
      </c>
    </row>
    <row r="61" spans="2:14" ht="12.75">
      <c r="B61" s="411" t="s">
        <v>151</v>
      </c>
      <c r="C61" s="20"/>
      <c r="D61" s="20"/>
      <c r="E61" s="385" t="e">
        <f>VLOOKUP(B3,'All Schools'!A:CK,79,0)</f>
        <v>#N/A</v>
      </c>
      <c r="G61" s="123">
        <v>14</v>
      </c>
      <c r="M61" s="10" t="s">
        <v>139</v>
      </c>
      <c r="N61" s="213">
        <v>4000</v>
      </c>
    </row>
    <row r="62" spans="2:14" ht="12.75">
      <c r="B62" s="412" t="s">
        <v>572</v>
      </c>
      <c r="C62" s="24"/>
      <c r="D62" s="24"/>
      <c r="E62" s="152" t="e">
        <f>VLOOKUP(B3,'All Schools'!A:CK,80,0)</f>
        <v>#N/A</v>
      </c>
      <c r="G62" s="123">
        <v>15</v>
      </c>
      <c r="M62" s="93" t="s">
        <v>256</v>
      </c>
      <c r="N62" s="282">
        <v>2040</v>
      </c>
    </row>
    <row r="63" spans="13:14" ht="12.75">
      <c r="M63" s="10" t="s">
        <v>48</v>
      </c>
      <c r="N63" s="213">
        <v>5403</v>
      </c>
    </row>
    <row r="64" spans="2:14" ht="12.75">
      <c r="B64" s="112" t="s">
        <v>574</v>
      </c>
      <c r="M64" s="10" t="s">
        <v>24</v>
      </c>
      <c r="N64" s="213">
        <v>2064</v>
      </c>
    </row>
    <row r="65" spans="13:14" ht="12.75">
      <c r="M65" s="10" t="s">
        <v>50</v>
      </c>
      <c r="N65" s="213">
        <v>5406</v>
      </c>
    </row>
    <row r="66" spans="2:14" ht="12.75">
      <c r="B66" s="408" t="s">
        <v>575</v>
      </c>
      <c r="C66" s="16"/>
      <c r="D66" s="16"/>
      <c r="E66" s="409" t="e">
        <f>VLOOKUP(B3,'All Schools'!A:CK,82,0)</f>
        <v>#N/A</v>
      </c>
      <c r="G66" s="123">
        <v>16</v>
      </c>
      <c r="M66" s="10" t="s">
        <v>140</v>
      </c>
      <c r="N66" s="213">
        <v>2045</v>
      </c>
    </row>
    <row r="67" spans="2:14" ht="12.75">
      <c r="B67" s="410" t="s">
        <v>576</v>
      </c>
      <c r="C67" s="20"/>
      <c r="D67" s="20"/>
      <c r="E67" s="385" t="e">
        <f>VLOOKUP(B3,'All Schools'!A:CK,83,0)</f>
        <v>#N/A</v>
      </c>
      <c r="G67" s="123">
        <v>17</v>
      </c>
      <c r="M67" s="10" t="s">
        <v>27</v>
      </c>
      <c r="N67" s="213">
        <v>2080</v>
      </c>
    </row>
    <row r="68" spans="2:14" ht="12.75">
      <c r="B68" s="410" t="s">
        <v>577</v>
      </c>
      <c r="C68" s="20"/>
      <c r="D68" s="20"/>
      <c r="E68" s="385" t="e">
        <f>VLOOKUP(B3,'All Schools'!A:CK,84,0)</f>
        <v>#N/A</v>
      </c>
      <c r="G68" s="123">
        <v>18</v>
      </c>
      <c r="M68" s="10" t="s">
        <v>45</v>
      </c>
      <c r="N68" s="213">
        <v>4023</v>
      </c>
    </row>
    <row r="69" spans="2:14" ht="12.75">
      <c r="B69" s="410" t="s">
        <v>578</v>
      </c>
      <c r="C69" s="20"/>
      <c r="D69" s="20"/>
      <c r="E69" s="385" t="e">
        <f>VLOOKUP(B3,'All Schools'!A:CK,85,0)</f>
        <v>#N/A</v>
      </c>
      <c r="G69" s="123">
        <v>19</v>
      </c>
      <c r="M69" s="122" t="s">
        <v>19</v>
      </c>
      <c r="N69" s="213">
        <v>2048</v>
      </c>
    </row>
    <row r="70" spans="2:14" ht="12.75">
      <c r="B70" s="410" t="s">
        <v>579</v>
      </c>
      <c r="C70" s="20"/>
      <c r="D70" s="20"/>
      <c r="E70" s="385" t="e">
        <f>VLOOKUP(B3,'All Schools'!A:CK,86,0)</f>
        <v>#N/A</v>
      </c>
      <c r="G70" s="123">
        <v>20</v>
      </c>
      <c r="M70" s="10" t="s">
        <v>36</v>
      </c>
      <c r="N70" s="213">
        <v>3405</v>
      </c>
    </row>
    <row r="71" spans="2:14" ht="12.75">
      <c r="B71" s="410" t="s">
        <v>623</v>
      </c>
      <c r="C71" s="20"/>
      <c r="D71" s="20"/>
      <c r="E71" s="385" t="e">
        <f>VLOOKUP(B3,'All Schools'!A:CK,88,0)</f>
        <v>#N/A</v>
      </c>
      <c r="G71" s="123">
        <v>21</v>
      </c>
      <c r="M71" s="10" t="s">
        <v>99</v>
      </c>
      <c r="N71" s="213">
        <v>5208</v>
      </c>
    </row>
    <row r="72" spans="2:14" ht="12.75">
      <c r="B72" s="420" t="s">
        <v>624</v>
      </c>
      <c r="C72" s="24"/>
      <c r="D72" s="24"/>
      <c r="E72" s="152" t="e">
        <f>VLOOKUP(B3,'All Schools'!A:CK,89,0)</f>
        <v>#N/A</v>
      </c>
      <c r="G72" s="123">
        <v>22</v>
      </c>
      <c r="M72" s="93" t="s">
        <v>33</v>
      </c>
      <c r="N72" s="213">
        <v>3402</v>
      </c>
    </row>
    <row r="73" spans="13:14" ht="12.75">
      <c r="M73" s="102" t="s">
        <v>147</v>
      </c>
      <c r="N73" s="213">
        <v>2035</v>
      </c>
    </row>
    <row r="74" spans="2:14" ht="12.75">
      <c r="B74" s="413" t="s">
        <v>580</v>
      </c>
      <c r="C74" s="414"/>
      <c r="D74" s="414"/>
      <c r="E74" s="415" t="e">
        <f>VLOOKUP(B3,'All Schools'!A:CK,87,0)</f>
        <v>#N/A</v>
      </c>
      <c r="G74" s="123">
        <v>23</v>
      </c>
      <c r="M74" s="10" t="s">
        <v>35</v>
      </c>
      <c r="N74" s="213">
        <v>3404</v>
      </c>
    </row>
    <row r="75" spans="13:14" ht="12.75">
      <c r="M75" s="102" t="s">
        <v>129</v>
      </c>
      <c r="N75" s="213">
        <v>3306</v>
      </c>
    </row>
    <row r="76" spans="13:14" ht="12.75">
      <c r="M76" s="102" t="s">
        <v>153</v>
      </c>
      <c r="N76" s="213">
        <v>3400</v>
      </c>
    </row>
    <row r="77" spans="13:14" ht="12.75">
      <c r="M77" s="10" t="s">
        <v>34</v>
      </c>
      <c r="N77" s="213">
        <v>3403</v>
      </c>
    </row>
    <row r="78" spans="13:14" ht="12.75">
      <c r="M78" s="10" t="s">
        <v>206</v>
      </c>
      <c r="N78" s="213">
        <v>5410</v>
      </c>
    </row>
    <row r="79" spans="13:14" ht="12.75">
      <c r="M79" s="10" t="s">
        <v>127</v>
      </c>
      <c r="N79" s="213">
        <v>2004</v>
      </c>
    </row>
    <row r="80" spans="13:14" ht="12.75">
      <c r="M80" s="10" t="s">
        <v>52</v>
      </c>
      <c r="N80" s="213">
        <v>5408</v>
      </c>
    </row>
    <row r="81" spans="13:14" ht="12.75">
      <c r="M81" s="102" t="s">
        <v>205</v>
      </c>
      <c r="N81" s="213">
        <v>4014</v>
      </c>
    </row>
    <row r="82" spans="13:14" ht="12.75">
      <c r="M82" s="10" t="s">
        <v>134</v>
      </c>
      <c r="N82" s="213">
        <v>6906</v>
      </c>
    </row>
    <row r="83" spans="13:14" ht="12.75">
      <c r="M83" s="10" t="s">
        <v>49</v>
      </c>
      <c r="N83" s="213">
        <v>5404</v>
      </c>
    </row>
    <row r="84" spans="13:14" ht="12.75">
      <c r="M84" s="10" t="s">
        <v>101</v>
      </c>
      <c r="N84" s="213">
        <v>5402</v>
      </c>
    </row>
    <row r="85" spans="13:14" ht="12.75">
      <c r="M85" s="102" t="s">
        <v>96</v>
      </c>
      <c r="N85" s="213">
        <v>2065</v>
      </c>
    </row>
    <row r="86" spans="13:14" ht="12.75">
      <c r="M86" s="10" t="s">
        <v>213</v>
      </c>
      <c r="N86" s="213">
        <v>2051</v>
      </c>
    </row>
    <row r="87" spans="13:14" ht="12.75">
      <c r="M87" s="102" t="s">
        <v>25</v>
      </c>
      <c r="N87" s="213">
        <v>2069</v>
      </c>
    </row>
    <row r="88" spans="13:14" ht="12.75">
      <c r="M88" s="10" t="s">
        <v>20</v>
      </c>
      <c r="N88" s="213">
        <v>2052</v>
      </c>
    </row>
    <row r="89" spans="13:14" ht="12.75">
      <c r="M89" s="115" t="s">
        <v>211</v>
      </c>
      <c r="N89" s="213">
        <v>2074</v>
      </c>
    </row>
    <row r="90" spans="13:14" ht="12.75">
      <c r="M90" s="10" t="s">
        <v>21</v>
      </c>
      <c r="N90" s="213">
        <v>2054</v>
      </c>
    </row>
    <row r="91" spans="13:14" ht="12.75">
      <c r="M91" s="102" t="s">
        <v>212</v>
      </c>
      <c r="N91" s="213">
        <v>2049</v>
      </c>
    </row>
    <row r="92" spans="13:14" ht="12.75">
      <c r="M92" s="102" t="s">
        <v>44</v>
      </c>
      <c r="N92" s="213">
        <v>2082</v>
      </c>
    </row>
    <row r="93" spans="13:14" ht="12.75">
      <c r="M93" s="10" t="s">
        <v>94</v>
      </c>
      <c r="N93" s="213">
        <v>2060</v>
      </c>
    </row>
    <row r="94" spans="13:14" ht="12.75">
      <c r="M94" s="10" t="s">
        <v>22</v>
      </c>
      <c r="N94" s="213">
        <v>2059</v>
      </c>
    </row>
  </sheetData>
  <sheetProtection sheet="1" objects="1" scenarios="1"/>
  <conditionalFormatting sqref="N4:N94">
    <cfRule type="duplicateValues" priority="6" dxfId="0">
      <formula>AND(COUNTIF($N$4:$N$94,N4)&gt;1,NOT(ISBLANK(N4)))</formula>
    </cfRule>
  </conditionalFormatting>
  <dataValidations count="1">
    <dataValidation type="list" allowBlank="1" showInputMessage="1" showErrorMessage="1" promptTitle="Please select school" sqref="B2">
      <formula1>$M$3:$M$102</formula1>
    </dataValidation>
  </dataValidations>
  <printOptions/>
  <pageMargins left="0.75" right="0.75" top="1" bottom="1" header="0.5" footer="0.5"/>
  <pageSetup fitToHeight="1" fitToWidth="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indexed="47"/>
    <pageSetUpPr fitToPage="1"/>
  </sheetPr>
  <dimension ref="A1:CK180"/>
  <sheetViews>
    <sheetView zoomScalePageLayoutView="0" workbookViewId="0" topLeftCell="A1">
      <pane xSplit="2" ySplit="4" topLeftCell="C5" activePane="bottomRight" state="frozen"/>
      <selection pane="topLeft" activeCell="CD5" sqref="CD5:CD55"/>
      <selection pane="topRight" activeCell="CD5" sqref="CD5:CD55"/>
      <selection pane="bottomLeft" activeCell="CD5" sqref="CD5:CD55"/>
      <selection pane="bottomRight" activeCell="CD5" sqref="CD5:CD55"/>
    </sheetView>
  </sheetViews>
  <sheetFormatPr defaultColWidth="9.140625" defaultRowHeight="12.75"/>
  <cols>
    <col min="1" max="1" width="10.57421875" style="7" customWidth="1"/>
    <col min="2" max="2" width="55.8515625" style="0" customWidth="1"/>
    <col min="3" max="3" width="10.7109375" style="0" customWidth="1"/>
    <col min="4" max="4" width="13.8515625" style="0" customWidth="1"/>
    <col min="5" max="5" width="15.57421875" style="0" customWidth="1"/>
    <col min="6" max="7" width="9.7109375" style="0" customWidth="1"/>
    <col min="8" max="8" width="11.7109375" style="0" customWidth="1"/>
    <col min="9" max="21" width="12.57421875" style="0" customWidth="1"/>
    <col min="22" max="22" width="14.140625" style="0" customWidth="1"/>
    <col min="23" max="23" width="12.140625" style="0" customWidth="1"/>
    <col min="24" max="24" width="16.57421875" style="0" customWidth="1"/>
    <col min="25" max="25" width="14.421875" style="0" customWidth="1"/>
    <col min="26" max="26" width="14.28125" style="0" customWidth="1"/>
    <col min="27" max="27" width="15.140625" style="0" customWidth="1"/>
    <col min="28" max="28" width="16.140625" style="1" customWidth="1"/>
    <col min="29" max="30" width="15.140625" style="1" customWidth="1"/>
    <col min="31" max="31" width="20.00390625" style="1" customWidth="1"/>
    <col min="32" max="44" width="16.140625" style="1" customWidth="1"/>
    <col min="45" max="45" width="14.140625" style="1" customWidth="1"/>
    <col min="46" max="46" width="13.421875" style="1" customWidth="1"/>
    <col min="47" max="48" width="17.140625" style="1" customWidth="1"/>
    <col min="49" max="49" width="14.140625" style="1" customWidth="1"/>
    <col min="50" max="50" width="13.421875" style="1" customWidth="1"/>
    <col min="51" max="51" width="15.140625" style="1" customWidth="1"/>
    <col min="52" max="53" width="14.140625" style="1" customWidth="1"/>
    <col min="54" max="54" width="12.28125" style="1" customWidth="1"/>
    <col min="55" max="56" width="13.421875" style="1" customWidth="1"/>
    <col min="57" max="57" width="16.140625" style="1" customWidth="1"/>
    <col min="58" max="58" width="15.140625" style="1" customWidth="1"/>
    <col min="59" max="59" width="20.00390625" style="1" customWidth="1"/>
    <col min="60" max="60" width="22.421875" style="1" customWidth="1"/>
    <col min="61" max="61" width="16.140625" style="4" customWidth="1"/>
    <col min="62" max="62" width="16.140625" style="0" customWidth="1"/>
    <col min="63" max="63" width="15.140625" style="0" customWidth="1"/>
    <col min="64" max="64" width="17.140625" style="0" customWidth="1"/>
    <col min="65" max="66" width="20.00390625" style="0" customWidth="1"/>
    <col min="67" max="67" width="14.28125" style="3" customWidth="1"/>
    <col min="68" max="68" width="13.57421875" style="0" customWidth="1"/>
    <col min="69" max="69" width="21.421875" style="0" customWidth="1"/>
    <col min="70" max="70" width="16.140625" style="209" customWidth="1"/>
    <col min="71" max="72" width="13.57421875" style="0" customWidth="1"/>
    <col min="73" max="73" width="21.28125" style="5" customWidth="1"/>
    <col min="74" max="74" width="1.57421875" style="0" customWidth="1"/>
    <col min="75" max="76" width="16.7109375" style="0" customWidth="1"/>
    <col min="77" max="78" width="14.421875" style="0" customWidth="1"/>
    <col min="79" max="80" width="14.57421875" style="0" customWidth="1"/>
    <col min="82" max="82" width="14.57421875" style="0" customWidth="1"/>
    <col min="83" max="85" width="13.140625" style="0" customWidth="1"/>
    <col min="86" max="86" width="14.00390625" style="0" bestFit="1" customWidth="1"/>
    <col min="87" max="87" width="13.140625" style="0" customWidth="1"/>
    <col min="88" max="89" width="14.00390625" style="0" customWidth="1"/>
  </cols>
  <sheetData>
    <row r="1" s="13" customFormat="1" ht="18">
      <c r="A1" s="99" t="s">
        <v>215</v>
      </c>
    </row>
    <row r="2" spans="2:89" ht="13.5" thickBot="1">
      <c r="B2" s="7"/>
      <c r="C2" s="7">
        <v>3</v>
      </c>
      <c r="D2" s="7">
        <f>C2+1</f>
        <v>4</v>
      </c>
      <c r="E2" s="7">
        <f aca="true" t="shared" si="0" ref="E2:BP2">D2+1</f>
        <v>5</v>
      </c>
      <c r="F2" s="7">
        <f t="shared" si="0"/>
        <v>6</v>
      </c>
      <c r="G2" s="7">
        <f t="shared" si="0"/>
        <v>7</v>
      </c>
      <c r="H2" s="7">
        <f t="shared" si="0"/>
        <v>8</v>
      </c>
      <c r="I2" s="7">
        <f t="shared" si="0"/>
        <v>9</v>
      </c>
      <c r="J2" s="7">
        <f t="shared" si="0"/>
        <v>10</v>
      </c>
      <c r="K2" s="7">
        <f t="shared" si="0"/>
        <v>11</v>
      </c>
      <c r="L2" s="7">
        <f t="shared" si="0"/>
        <v>12</v>
      </c>
      <c r="M2" s="7">
        <f t="shared" si="0"/>
        <v>13</v>
      </c>
      <c r="N2" s="7">
        <f t="shared" si="0"/>
        <v>14</v>
      </c>
      <c r="O2" s="7">
        <f t="shared" si="0"/>
        <v>15</v>
      </c>
      <c r="P2" s="7">
        <f t="shared" si="0"/>
        <v>16</v>
      </c>
      <c r="Q2" s="7">
        <f t="shared" si="0"/>
        <v>17</v>
      </c>
      <c r="R2" s="7">
        <f t="shared" si="0"/>
        <v>18</v>
      </c>
      <c r="S2" s="7">
        <f t="shared" si="0"/>
        <v>19</v>
      </c>
      <c r="T2" s="7">
        <f t="shared" si="0"/>
        <v>20</v>
      </c>
      <c r="U2" s="7">
        <f t="shared" si="0"/>
        <v>21</v>
      </c>
      <c r="V2" s="7">
        <f t="shared" si="0"/>
        <v>22</v>
      </c>
      <c r="W2" s="7">
        <f t="shared" si="0"/>
        <v>23</v>
      </c>
      <c r="X2" s="7">
        <f t="shared" si="0"/>
        <v>24</v>
      </c>
      <c r="Y2" s="7">
        <f t="shared" si="0"/>
        <v>25</v>
      </c>
      <c r="Z2" s="7">
        <f t="shared" si="0"/>
        <v>26</v>
      </c>
      <c r="AA2" s="7">
        <f t="shared" si="0"/>
        <v>27</v>
      </c>
      <c r="AB2" s="7">
        <f t="shared" si="0"/>
        <v>28</v>
      </c>
      <c r="AC2" s="7">
        <f t="shared" si="0"/>
        <v>29</v>
      </c>
      <c r="AD2" s="7">
        <f t="shared" si="0"/>
        <v>30</v>
      </c>
      <c r="AE2" s="7">
        <f t="shared" si="0"/>
        <v>31</v>
      </c>
      <c r="AF2" s="7">
        <f t="shared" si="0"/>
        <v>32</v>
      </c>
      <c r="AG2" s="7">
        <f t="shared" si="0"/>
        <v>33</v>
      </c>
      <c r="AH2" s="7">
        <f t="shared" si="0"/>
        <v>34</v>
      </c>
      <c r="AI2" s="7">
        <f t="shared" si="0"/>
        <v>35</v>
      </c>
      <c r="AJ2" s="7">
        <f t="shared" si="0"/>
        <v>36</v>
      </c>
      <c r="AK2" s="7">
        <f t="shared" si="0"/>
        <v>37</v>
      </c>
      <c r="AL2" s="7">
        <f t="shared" si="0"/>
        <v>38</v>
      </c>
      <c r="AM2" s="7">
        <f t="shared" si="0"/>
        <v>39</v>
      </c>
      <c r="AN2" s="7">
        <f t="shared" si="0"/>
        <v>40</v>
      </c>
      <c r="AO2" s="7">
        <f t="shared" si="0"/>
        <v>41</v>
      </c>
      <c r="AP2" s="7">
        <f t="shared" si="0"/>
        <v>42</v>
      </c>
      <c r="AQ2" s="7">
        <f t="shared" si="0"/>
        <v>43</v>
      </c>
      <c r="AR2" s="7">
        <f t="shared" si="0"/>
        <v>44</v>
      </c>
      <c r="AS2" s="7">
        <f t="shared" si="0"/>
        <v>45</v>
      </c>
      <c r="AT2" s="7">
        <f t="shared" si="0"/>
        <v>46</v>
      </c>
      <c r="AU2" s="7">
        <f t="shared" si="0"/>
        <v>47</v>
      </c>
      <c r="AV2" s="7">
        <f t="shared" si="0"/>
        <v>48</v>
      </c>
      <c r="AW2" s="7">
        <f t="shared" si="0"/>
        <v>49</v>
      </c>
      <c r="AX2" s="7">
        <f t="shared" si="0"/>
        <v>50</v>
      </c>
      <c r="AY2" s="7">
        <f t="shared" si="0"/>
        <v>51</v>
      </c>
      <c r="AZ2" s="7">
        <f t="shared" si="0"/>
        <v>52</v>
      </c>
      <c r="BA2" s="7">
        <f t="shared" si="0"/>
        <v>53</v>
      </c>
      <c r="BB2" s="7">
        <f t="shared" si="0"/>
        <v>54</v>
      </c>
      <c r="BC2" s="7">
        <f t="shared" si="0"/>
        <v>55</v>
      </c>
      <c r="BD2" s="7">
        <f t="shared" si="0"/>
        <v>56</v>
      </c>
      <c r="BE2" s="7">
        <f t="shared" si="0"/>
        <v>57</v>
      </c>
      <c r="BF2" s="7">
        <f t="shared" si="0"/>
        <v>58</v>
      </c>
      <c r="BG2" s="7">
        <f t="shared" si="0"/>
        <v>59</v>
      </c>
      <c r="BH2" s="7">
        <f t="shared" si="0"/>
        <v>60</v>
      </c>
      <c r="BI2" s="7">
        <f t="shared" si="0"/>
        <v>61</v>
      </c>
      <c r="BJ2" s="7">
        <f t="shared" si="0"/>
        <v>62</v>
      </c>
      <c r="BK2" s="7">
        <f t="shared" si="0"/>
        <v>63</v>
      </c>
      <c r="BL2" s="7">
        <f t="shared" si="0"/>
        <v>64</v>
      </c>
      <c r="BM2" s="7">
        <f t="shared" si="0"/>
        <v>65</v>
      </c>
      <c r="BN2" s="7">
        <f t="shared" si="0"/>
        <v>66</v>
      </c>
      <c r="BO2" s="7">
        <f t="shared" si="0"/>
        <v>67</v>
      </c>
      <c r="BP2" s="7">
        <f t="shared" si="0"/>
        <v>68</v>
      </c>
      <c r="BQ2" s="7">
        <f>BP2+1</f>
        <v>69</v>
      </c>
      <c r="BR2" s="7">
        <f>BQ2+1</f>
        <v>70</v>
      </c>
      <c r="BS2" s="7">
        <f>BR2+1</f>
        <v>71</v>
      </c>
      <c r="BT2" s="7">
        <f>BS2+1</f>
        <v>72</v>
      </c>
      <c r="BU2" s="7">
        <f>BT2+1</f>
        <v>73</v>
      </c>
      <c r="BV2" s="7">
        <v>74</v>
      </c>
      <c r="BW2" s="7">
        <v>75</v>
      </c>
      <c r="BX2" s="7">
        <v>76</v>
      </c>
      <c r="BY2" s="7">
        <v>77</v>
      </c>
      <c r="BZ2" s="7">
        <v>78</v>
      </c>
      <c r="CA2" s="7">
        <v>79</v>
      </c>
      <c r="CB2" s="7">
        <v>80</v>
      </c>
      <c r="CD2" s="7">
        <v>82</v>
      </c>
      <c r="CE2" s="7">
        <v>83</v>
      </c>
      <c r="CF2" s="7">
        <v>84</v>
      </c>
      <c r="CG2" s="7">
        <v>85</v>
      </c>
      <c r="CH2" s="7">
        <v>86</v>
      </c>
      <c r="CI2" s="7">
        <v>87</v>
      </c>
      <c r="CJ2" s="7">
        <v>88</v>
      </c>
      <c r="CK2" s="7">
        <v>89</v>
      </c>
    </row>
    <row r="3" spans="3:89" ht="13.5" thickBot="1">
      <c r="C3" s="437" t="s">
        <v>73</v>
      </c>
      <c r="D3" s="438"/>
      <c r="E3" s="438"/>
      <c r="F3" s="438"/>
      <c r="G3" s="438"/>
      <c r="H3" s="438"/>
      <c r="I3" s="438"/>
      <c r="J3" s="438"/>
      <c r="K3" s="438"/>
      <c r="L3" s="438"/>
      <c r="M3" s="438"/>
      <c r="N3" s="438"/>
      <c r="O3" s="438"/>
      <c r="P3" s="438"/>
      <c r="Q3" s="438"/>
      <c r="R3" s="438"/>
      <c r="S3" s="438"/>
      <c r="T3" s="438"/>
      <c r="U3" s="438"/>
      <c r="V3" s="438"/>
      <c r="W3" s="438"/>
      <c r="X3" s="438"/>
      <c r="Y3" s="438"/>
      <c r="Z3" s="438"/>
      <c r="AA3" s="439"/>
      <c r="AB3" s="108">
        <v>3181.513996131403</v>
      </c>
      <c r="AC3" s="41">
        <v>4125.339237118363</v>
      </c>
      <c r="AD3" s="41">
        <v>4714.670473072015</v>
      </c>
      <c r="AE3" s="41">
        <v>997.84</v>
      </c>
      <c r="AF3" s="41">
        <v>1297.17</v>
      </c>
      <c r="AG3" s="41">
        <v>65.1</v>
      </c>
      <c r="AH3" s="41">
        <v>130.2</v>
      </c>
      <c r="AI3" s="41">
        <v>195.3</v>
      </c>
      <c r="AJ3" s="41">
        <v>260.4</v>
      </c>
      <c r="AK3" s="41">
        <v>325.5</v>
      </c>
      <c r="AL3" s="41">
        <v>390.6</v>
      </c>
      <c r="AM3" s="41">
        <v>84.63</v>
      </c>
      <c r="AN3" s="41">
        <v>169.26</v>
      </c>
      <c r="AO3" s="41">
        <v>253.89</v>
      </c>
      <c r="AP3" s="41">
        <v>338.52</v>
      </c>
      <c r="AQ3" s="41">
        <v>423.15</v>
      </c>
      <c r="AR3" s="41">
        <v>507.78</v>
      </c>
      <c r="AS3" s="41">
        <v>739.08</v>
      </c>
      <c r="AT3" s="41">
        <v>1113.64</v>
      </c>
      <c r="AU3" s="41">
        <v>1100</v>
      </c>
      <c r="AV3" s="41">
        <v>1650</v>
      </c>
      <c r="AW3" s="41">
        <v>800</v>
      </c>
      <c r="AX3" s="41">
        <v>1200</v>
      </c>
      <c r="AY3" s="41">
        <v>140000</v>
      </c>
      <c r="AZ3" s="42"/>
      <c r="BA3" s="42"/>
      <c r="BB3" s="42"/>
      <c r="BC3" s="42"/>
      <c r="BD3" s="43"/>
      <c r="BE3" s="49"/>
      <c r="BF3" s="44"/>
      <c r="BG3" s="44"/>
      <c r="BH3" s="44"/>
      <c r="BI3" s="45"/>
      <c r="BJ3" s="45"/>
      <c r="BK3" s="47"/>
      <c r="BL3" s="48"/>
      <c r="BM3" s="48"/>
      <c r="BN3" s="45"/>
      <c r="BO3" s="46"/>
      <c r="BP3" s="45"/>
      <c r="BQ3" s="45"/>
      <c r="BR3" s="203"/>
      <c r="BS3" s="56">
        <v>0</v>
      </c>
      <c r="BT3" s="56">
        <v>1.22</v>
      </c>
      <c r="BU3" s="15"/>
      <c r="BW3" s="440" t="s">
        <v>588</v>
      </c>
      <c r="BX3" s="441"/>
      <c r="BY3" s="441"/>
      <c r="BZ3" s="441"/>
      <c r="CA3" s="441"/>
      <c r="CB3" s="442"/>
      <c r="CD3" s="443" t="s">
        <v>581</v>
      </c>
      <c r="CE3" s="444"/>
      <c r="CF3" s="444"/>
      <c r="CG3" s="444"/>
      <c r="CH3" s="444"/>
      <c r="CI3" s="444"/>
      <c r="CJ3" s="444"/>
      <c r="CK3" s="445"/>
    </row>
    <row r="4" spans="1:89" s="8" customFormat="1" ht="68.25" customHeight="1" thickBot="1">
      <c r="A4" s="107" t="s">
        <v>74</v>
      </c>
      <c r="B4" s="106" t="s">
        <v>1</v>
      </c>
      <c r="C4" s="38" t="s">
        <v>2</v>
      </c>
      <c r="D4" s="39" t="s">
        <v>3</v>
      </c>
      <c r="E4" s="39" t="s">
        <v>4</v>
      </c>
      <c r="F4" s="39" t="s">
        <v>5</v>
      </c>
      <c r="G4" s="39" t="s">
        <v>6</v>
      </c>
      <c r="H4" s="39" t="s">
        <v>202</v>
      </c>
      <c r="I4" s="39" t="s">
        <v>175</v>
      </c>
      <c r="J4" s="39" t="s">
        <v>190</v>
      </c>
      <c r="K4" s="39" t="s">
        <v>191</v>
      </c>
      <c r="L4" s="39" t="s">
        <v>192</v>
      </c>
      <c r="M4" s="39" t="s">
        <v>193</v>
      </c>
      <c r="N4" s="39" t="s">
        <v>194</v>
      </c>
      <c r="O4" s="39" t="s">
        <v>195</v>
      </c>
      <c r="P4" s="39" t="s">
        <v>196</v>
      </c>
      <c r="Q4" s="39" t="s">
        <v>197</v>
      </c>
      <c r="R4" s="39" t="s">
        <v>198</v>
      </c>
      <c r="S4" s="39" t="s">
        <v>199</v>
      </c>
      <c r="T4" s="39" t="s">
        <v>200</v>
      </c>
      <c r="U4" s="39" t="s">
        <v>201</v>
      </c>
      <c r="V4" s="39" t="s">
        <v>80</v>
      </c>
      <c r="W4" s="39" t="s">
        <v>81</v>
      </c>
      <c r="X4" s="39" t="s">
        <v>105</v>
      </c>
      <c r="Y4" s="39" t="s">
        <v>109</v>
      </c>
      <c r="Z4" s="39" t="s">
        <v>106</v>
      </c>
      <c r="AA4" s="40" t="s">
        <v>107</v>
      </c>
      <c r="AB4" s="259" t="s">
        <v>75</v>
      </c>
      <c r="AC4" s="66" t="s">
        <v>76</v>
      </c>
      <c r="AD4" s="66" t="s">
        <v>77</v>
      </c>
      <c r="AE4" s="66" t="s">
        <v>149</v>
      </c>
      <c r="AF4" s="66" t="s">
        <v>189</v>
      </c>
      <c r="AG4" s="66" t="s">
        <v>190</v>
      </c>
      <c r="AH4" s="66" t="s">
        <v>191</v>
      </c>
      <c r="AI4" s="66" t="s">
        <v>192</v>
      </c>
      <c r="AJ4" s="66" t="s">
        <v>193</v>
      </c>
      <c r="AK4" s="66" t="s">
        <v>194</v>
      </c>
      <c r="AL4" s="66" t="s">
        <v>195</v>
      </c>
      <c r="AM4" s="66" t="s">
        <v>196</v>
      </c>
      <c r="AN4" s="66" t="s">
        <v>197</v>
      </c>
      <c r="AO4" s="66" t="s">
        <v>198</v>
      </c>
      <c r="AP4" s="66" t="s">
        <v>199</v>
      </c>
      <c r="AQ4" s="66" t="s">
        <v>200</v>
      </c>
      <c r="AR4" s="66" t="s">
        <v>201</v>
      </c>
      <c r="AS4" s="66" t="s">
        <v>56</v>
      </c>
      <c r="AT4" s="66" t="s">
        <v>57</v>
      </c>
      <c r="AU4" s="66" t="s">
        <v>54</v>
      </c>
      <c r="AV4" s="66" t="s">
        <v>55</v>
      </c>
      <c r="AW4" s="66" t="s">
        <v>58</v>
      </c>
      <c r="AX4" s="66" t="s">
        <v>59</v>
      </c>
      <c r="AY4" s="66" t="s">
        <v>60</v>
      </c>
      <c r="AZ4" s="66" t="s">
        <v>216</v>
      </c>
      <c r="BA4" s="66" t="s">
        <v>217</v>
      </c>
      <c r="BB4" s="66" t="s">
        <v>61</v>
      </c>
      <c r="BC4" s="66" t="s">
        <v>63</v>
      </c>
      <c r="BD4" s="103" t="s">
        <v>218</v>
      </c>
      <c r="BE4" s="188" t="s">
        <v>64</v>
      </c>
      <c r="BF4" s="189" t="s">
        <v>65</v>
      </c>
      <c r="BG4" s="189" t="s">
        <v>113</v>
      </c>
      <c r="BH4" s="190" t="s">
        <v>131</v>
      </c>
      <c r="BI4" s="191" t="s">
        <v>66</v>
      </c>
      <c r="BJ4" s="227" t="s">
        <v>67</v>
      </c>
      <c r="BK4" s="228" t="s">
        <v>68</v>
      </c>
      <c r="BL4" s="229" t="s">
        <v>219</v>
      </c>
      <c r="BM4" s="227" t="s">
        <v>220</v>
      </c>
      <c r="BN4" s="227" t="s">
        <v>204</v>
      </c>
      <c r="BO4" s="230" t="s">
        <v>69</v>
      </c>
      <c r="BP4" s="227" t="s">
        <v>70</v>
      </c>
      <c r="BQ4" s="231" t="s">
        <v>221</v>
      </c>
      <c r="BR4" s="232" t="s">
        <v>71</v>
      </c>
      <c r="BS4" s="233" t="s">
        <v>72</v>
      </c>
      <c r="BT4" s="191" t="s">
        <v>203</v>
      </c>
      <c r="BU4" s="234" t="s">
        <v>0</v>
      </c>
      <c r="BW4" s="118" t="s">
        <v>482</v>
      </c>
      <c r="BX4" s="384" t="s">
        <v>481</v>
      </c>
      <c r="BY4" s="119" t="s">
        <v>150</v>
      </c>
      <c r="BZ4" s="119" t="s">
        <v>222</v>
      </c>
      <c r="CA4" s="120" t="s">
        <v>151</v>
      </c>
      <c r="CB4" s="120" t="s">
        <v>572</v>
      </c>
      <c r="CD4" s="416" t="s">
        <v>582</v>
      </c>
      <c r="CE4" s="417" t="s">
        <v>583</v>
      </c>
      <c r="CF4" s="417" t="s">
        <v>584</v>
      </c>
      <c r="CG4" s="418" t="s">
        <v>585</v>
      </c>
      <c r="CH4" s="418" t="s">
        <v>586</v>
      </c>
      <c r="CI4" s="417" t="s">
        <v>587</v>
      </c>
      <c r="CJ4" s="417" t="s">
        <v>589</v>
      </c>
      <c r="CK4" s="419" t="s">
        <v>590</v>
      </c>
    </row>
    <row r="5" spans="1:89" ht="15">
      <c r="A5" s="67">
        <v>2003</v>
      </c>
      <c r="B5" s="109" t="s">
        <v>7</v>
      </c>
      <c r="C5" s="250">
        <v>231</v>
      </c>
      <c r="D5" s="253">
        <v>231</v>
      </c>
      <c r="E5" s="253">
        <v>0</v>
      </c>
      <c r="F5" s="253">
        <v>0</v>
      </c>
      <c r="G5" s="239">
        <v>0</v>
      </c>
      <c r="H5" s="253">
        <v>52.32051282051282</v>
      </c>
      <c r="I5" s="239">
        <v>0</v>
      </c>
      <c r="J5" s="253">
        <v>76</v>
      </c>
      <c r="K5" s="239">
        <v>6.999999999999999</v>
      </c>
      <c r="L5" s="253">
        <v>2.0000000000000004</v>
      </c>
      <c r="M5" s="239">
        <v>6.000000000000006</v>
      </c>
      <c r="N5" s="253">
        <v>2.0000000000000004</v>
      </c>
      <c r="O5" s="239">
        <v>0</v>
      </c>
      <c r="P5" s="253">
        <v>0</v>
      </c>
      <c r="Q5" s="239">
        <v>0</v>
      </c>
      <c r="R5" s="253">
        <v>0</v>
      </c>
      <c r="S5" s="253">
        <v>0</v>
      </c>
      <c r="T5" s="239">
        <v>0</v>
      </c>
      <c r="U5" s="253">
        <v>0</v>
      </c>
      <c r="V5" s="239">
        <v>61.14705882352938</v>
      </c>
      <c r="W5" s="253">
        <v>0</v>
      </c>
      <c r="X5" s="247">
        <v>42.62615398614539</v>
      </c>
      <c r="Y5" s="247">
        <v>0</v>
      </c>
      <c r="Z5" s="247">
        <v>0</v>
      </c>
      <c r="AA5" s="240">
        <v>0</v>
      </c>
      <c r="AB5" s="68">
        <f aca="true" t="shared" si="1" ref="AB5:AB36">$AB$3*D5</f>
        <v>734929.7331063541</v>
      </c>
      <c r="AC5" s="61">
        <f aca="true" t="shared" si="2" ref="AC5:AC36">$AC$3*F5</f>
        <v>0</v>
      </c>
      <c r="AD5" s="61">
        <f aca="true" t="shared" si="3" ref="AD5:AD36">$AD$3*G5</f>
        <v>0</v>
      </c>
      <c r="AE5" s="61">
        <f aca="true" t="shared" si="4" ref="AE5:AE36">$AE$3*H5</f>
        <v>52207.50051282051</v>
      </c>
      <c r="AF5" s="61">
        <f aca="true" t="shared" si="5" ref="AF5:AF36">AF$3*I5</f>
        <v>0</v>
      </c>
      <c r="AG5" s="61">
        <f aca="true" t="shared" si="6" ref="AG5:AG36">AG$3*J5</f>
        <v>4947.599999999999</v>
      </c>
      <c r="AH5" s="61">
        <f aca="true" t="shared" si="7" ref="AH5:AH36">AH$3*K5</f>
        <v>911.3999999999997</v>
      </c>
      <c r="AI5" s="61">
        <f aca="true" t="shared" si="8" ref="AI5:AI36">AI$3*L5</f>
        <v>390.60000000000014</v>
      </c>
      <c r="AJ5" s="61">
        <f aca="true" t="shared" si="9" ref="AJ5:AJ36">AJ$3*M5</f>
        <v>1562.4000000000015</v>
      </c>
      <c r="AK5" s="61">
        <f aca="true" t="shared" si="10" ref="AK5:AK36">AK$3*N5</f>
        <v>651.0000000000001</v>
      </c>
      <c r="AL5" s="61">
        <f aca="true" t="shared" si="11" ref="AL5:AL36">AL$3*O5</f>
        <v>0</v>
      </c>
      <c r="AM5" s="61">
        <f aca="true" t="shared" si="12" ref="AM5:AM36">AM$3*P5</f>
        <v>0</v>
      </c>
      <c r="AN5" s="61">
        <f aca="true" t="shared" si="13" ref="AN5:AN36">AN$3*Q5</f>
        <v>0</v>
      </c>
      <c r="AO5" s="61">
        <f aca="true" t="shared" si="14" ref="AO5:AO36">AO$3*R5</f>
        <v>0</v>
      </c>
      <c r="AP5" s="61">
        <f aca="true" t="shared" si="15" ref="AP5:AP36">AP$3*S5</f>
        <v>0</v>
      </c>
      <c r="AQ5" s="61">
        <f aca="true" t="shared" si="16" ref="AQ5:AQ36">AQ$3*T5</f>
        <v>0</v>
      </c>
      <c r="AR5" s="260">
        <f aca="true" t="shared" si="17" ref="AR5:AR36">AR$3*U5</f>
        <v>0</v>
      </c>
      <c r="AS5" s="244">
        <f aca="true" t="shared" si="18" ref="AS5:AS36">SUM(V5)*$AS$3</f>
        <v>45192.56823529409</v>
      </c>
      <c r="AT5" s="253">
        <f aca="true" t="shared" si="19" ref="AT5:AT36">SUM(W5)*$AT$3</f>
        <v>0</v>
      </c>
      <c r="AU5" s="261">
        <f aca="true" t="shared" si="20" ref="AU5:AU36">$AU$3*X5</f>
        <v>46888.76938475993</v>
      </c>
      <c r="AV5" s="61">
        <f aca="true" t="shared" si="21" ref="AV5:AV36">$AV$3*Y5</f>
        <v>0</v>
      </c>
      <c r="AW5" s="61">
        <f aca="true" t="shared" si="22" ref="AW5:AW36">$AW$3*Z5</f>
        <v>0</v>
      </c>
      <c r="AX5" s="61">
        <f aca="true" t="shared" si="23" ref="AX5:AX36">$AX$3*AA5</f>
        <v>0</v>
      </c>
      <c r="AY5" s="260">
        <v>140000</v>
      </c>
      <c r="AZ5" s="262">
        <v>25200</v>
      </c>
      <c r="BA5" s="262">
        <v>-1247.0300000000007</v>
      </c>
      <c r="BB5" s="261"/>
      <c r="BC5" s="61"/>
      <c r="BD5" s="62">
        <v>0</v>
      </c>
      <c r="BE5" s="58">
        <f aca="true" t="shared" si="24" ref="BE5:BE36">SUM(AB5:AD5)</f>
        <v>734929.7331063541</v>
      </c>
      <c r="BF5" s="59">
        <f aca="true" t="shared" si="25" ref="BF5:BF36">SUM(AE5:AX5)</f>
        <v>152751.83813287452</v>
      </c>
      <c r="BG5" s="59">
        <f aca="true" t="shared" si="26" ref="BG5:BG36">SUM(AY5:BD5)</f>
        <v>163952.97</v>
      </c>
      <c r="BH5" s="60">
        <f aca="true" t="shared" si="27" ref="BH5:BH36">SUM(AU5:AV5)</f>
        <v>46888.76938475993</v>
      </c>
      <c r="BI5" s="34">
        <f aca="true" t="shared" si="28" ref="BI5:BI36">SUM(BE5:BG5)</f>
        <v>1051634.5412392286</v>
      </c>
      <c r="BJ5" s="59">
        <f aca="true" t="shared" si="29" ref="BJ5:BJ36">SUM(D5/C5*BI5)</f>
        <v>1051634.5412392286</v>
      </c>
      <c r="BK5" s="60">
        <f aca="true" t="shared" si="30" ref="BK5:BK36">SUM(E5/C5*BI5)</f>
        <v>0</v>
      </c>
      <c r="BL5" s="58">
        <f aca="true" t="shared" si="31" ref="BL5:BL36">BI5-BA5-AZ5-AY5-BD5</f>
        <v>887681.5712392286</v>
      </c>
      <c r="BM5" s="59">
        <v>3842.7773407174404</v>
      </c>
      <c r="BN5" s="59">
        <v>3748.285224463519</v>
      </c>
      <c r="BO5" s="33">
        <f aca="true" t="shared" si="32" ref="BO5:BO36">(BM5-BN5)/BN5</f>
        <v>0.02520942526924312</v>
      </c>
      <c r="BP5" s="204">
        <f aca="true" t="shared" si="33" ref="BP5:BP36">IF(BO5&gt;-0.015,0,-0.015-BO5)</f>
        <v>0</v>
      </c>
      <c r="BQ5" s="60">
        <f aca="true" t="shared" si="34" ref="BQ5:BQ36">BN5*BP5*C5</f>
        <v>0</v>
      </c>
      <c r="BR5" s="205">
        <f aca="true" t="shared" si="35" ref="BR5:BR36">BI5+BQ5</f>
        <v>1051634.5412392286</v>
      </c>
      <c r="BS5" s="91">
        <f aca="true" t="shared" si="36" ref="BS5:BS36">$BS$3*C5</f>
        <v>0</v>
      </c>
      <c r="BT5" s="91">
        <f aca="true" t="shared" si="37" ref="BT5:BT36">$BT$3*C5</f>
        <v>281.82</v>
      </c>
      <c r="BU5" s="97">
        <f aca="true" t="shared" si="38" ref="BU5:BU36">BR5-BS5-BT5</f>
        <v>1051352.7212392285</v>
      </c>
      <c r="BV5" s="110"/>
      <c r="BW5" s="198">
        <f>VLOOKUP(A5,'EYSFF Universal Hrs'!$A$159:$W$216,23,0)</f>
        <v>84230.72656340609</v>
      </c>
      <c r="BX5" s="198">
        <f>VLOOKUP(A5,'EYSFF Extended Hrs'!$A$115:$W$172,11,0)</f>
        <v>0</v>
      </c>
      <c r="BY5" s="224"/>
      <c r="BZ5" s="224"/>
      <c r="CA5" s="200">
        <f>VLOOKUP(A5,'Top Up SEN'!A:E,5,0)</f>
        <v>8300</v>
      </c>
      <c r="CB5" s="200">
        <f>VLOOKUP(A5,'2% threshold'!A:H,8,0)</f>
        <v>0</v>
      </c>
      <c r="CC5" s="212"/>
      <c r="CD5" s="434">
        <f>VLOOKUP(A5,'[4]Pupil Premuim'!$B:$G,6,0)</f>
        <v>69960</v>
      </c>
      <c r="CE5" s="434">
        <f>VLOOKUP(A5,'[4]Pupil Premuim'!$K:$P,6,0)</f>
        <v>300</v>
      </c>
      <c r="CF5" s="434">
        <v>0</v>
      </c>
      <c r="CG5" s="434">
        <f>VLOOKUP(A5,'[4]PE+Sports'!$B$5:$P$54,15,0)</f>
        <v>18040</v>
      </c>
      <c r="CH5" s="434">
        <f>VLOOKUP(A5,'[4]UIFSM'!$B$5:$K$43,10,0)</f>
        <v>28842</v>
      </c>
      <c r="CI5" s="434"/>
      <c r="CJ5" s="434"/>
      <c r="CK5" s="434"/>
    </row>
    <row r="6" spans="1:89" ht="15">
      <c r="A6" s="37">
        <v>2004</v>
      </c>
      <c r="B6" s="115" t="s">
        <v>127</v>
      </c>
      <c r="C6" s="251">
        <v>611</v>
      </c>
      <c r="D6" s="254">
        <v>611</v>
      </c>
      <c r="E6" s="254">
        <v>0</v>
      </c>
      <c r="F6" s="254">
        <v>0</v>
      </c>
      <c r="G6" s="238">
        <v>0</v>
      </c>
      <c r="H6" s="254">
        <v>14.664</v>
      </c>
      <c r="I6" s="238">
        <v>0</v>
      </c>
      <c r="J6" s="254">
        <v>19.999999999999986</v>
      </c>
      <c r="K6" s="238">
        <v>17.999999999999982</v>
      </c>
      <c r="L6" s="254">
        <v>1.0000000000000022</v>
      </c>
      <c r="M6" s="238">
        <v>1.0000000000000022</v>
      </c>
      <c r="N6" s="254">
        <v>0</v>
      </c>
      <c r="O6" s="238">
        <v>0</v>
      </c>
      <c r="P6" s="254">
        <v>0</v>
      </c>
      <c r="Q6" s="238">
        <v>0</v>
      </c>
      <c r="R6" s="254">
        <v>0</v>
      </c>
      <c r="S6" s="254">
        <v>0</v>
      </c>
      <c r="T6" s="238">
        <v>0</v>
      </c>
      <c r="U6" s="254">
        <v>0</v>
      </c>
      <c r="V6" s="238">
        <v>122.2</v>
      </c>
      <c r="W6" s="254">
        <v>0</v>
      </c>
      <c r="X6" s="248">
        <v>54.86388915934187</v>
      </c>
      <c r="Y6" s="248">
        <v>0</v>
      </c>
      <c r="Z6" s="248">
        <v>0</v>
      </c>
      <c r="AA6" s="241">
        <v>0</v>
      </c>
      <c r="AB6" s="58">
        <f t="shared" si="1"/>
        <v>1943905.0516362872</v>
      </c>
      <c r="AC6" s="59">
        <f t="shared" si="2"/>
        <v>0</v>
      </c>
      <c r="AD6" s="59">
        <f t="shared" si="3"/>
        <v>0</v>
      </c>
      <c r="AE6" s="59">
        <f t="shared" si="4"/>
        <v>14632.32576</v>
      </c>
      <c r="AF6" s="59">
        <f t="shared" si="5"/>
        <v>0</v>
      </c>
      <c r="AG6" s="59">
        <f t="shared" si="6"/>
        <v>1301.9999999999989</v>
      </c>
      <c r="AH6" s="59">
        <f t="shared" si="7"/>
        <v>2343.5999999999976</v>
      </c>
      <c r="AI6" s="59">
        <f t="shared" si="8"/>
        <v>195.30000000000044</v>
      </c>
      <c r="AJ6" s="59">
        <f t="shared" si="9"/>
        <v>260.40000000000055</v>
      </c>
      <c r="AK6" s="59">
        <f t="shared" si="10"/>
        <v>0</v>
      </c>
      <c r="AL6" s="59">
        <f t="shared" si="11"/>
        <v>0</v>
      </c>
      <c r="AM6" s="59">
        <f t="shared" si="12"/>
        <v>0</v>
      </c>
      <c r="AN6" s="59">
        <f t="shared" si="13"/>
        <v>0</v>
      </c>
      <c r="AO6" s="59">
        <f t="shared" si="14"/>
        <v>0</v>
      </c>
      <c r="AP6" s="59">
        <f t="shared" si="15"/>
        <v>0</v>
      </c>
      <c r="AQ6" s="59">
        <f t="shared" si="16"/>
        <v>0</v>
      </c>
      <c r="AR6" s="256">
        <f t="shared" si="17"/>
        <v>0</v>
      </c>
      <c r="AS6" s="245">
        <f t="shared" si="18"/>
        <v>90315.576</v>
      </c>
      <c r="AT6" s="254">
        <f t="shared" si="19"/>
        <v>0</v>
      </c>
      <c r="AU6" s="236">
        <f t="shared" si="20"/>
        <v>60350.27807527606</v>
      </c>
      <c r="AV6" s="59">
        <f t="shared" si="21"/>
        <v>0</v>
      </c>
      <c r="AW6" s="59">
        <f t="shared" si="22"/>
        <v>0</v>
      </c>
      <c r="AX6" s="59">
        <f t="shared" si="23"/>
        <v>0</v>
      </c>
      <c r="AY6" s="256">
        <v>140000</v>
      </c>
      <c r="AZ6" s="258">
        <v>40250</v>
      </c>
      <c r="BA6" s="258">
        <v>5169.5</v>
      </c>
      <c r="BB6" s="236"/>
      <c r="BC6" s="59"/>
      <c r="BD6" s="60">
        <v>0</v>
      </c>
      <c r="BE6" s="58">
        <f t="shared" si="24"/>
        <v>1943905.0516362872</v>
      </c>
      <c r="BF6" s="59">
        <f t="shared" si="25"/>
        <v>169399.47983527606</v>
      </c>
      <c r="BG6" s="59">
        <f t="shared" si="26"/>
        <v>185419.5</v>
      </c>
      <c r="BH6" s="60">
        <f t="shared" si="27"/>
        <v>60350.27807527606</v>
      </c>
      <c r="BI6" s="34">
        <f t="shared" si="28"/>
        <v>2298724.0314715635</v>
      </c>
      <c r="BJ6" s="59">
        <f t="shared" si="29"/>
        <v>2298724.0314715635</v>
      </c>
      <c r="BK6" s="60">
        <f t="shared" si="30"/>
        <v>0</v>
      </c>
      <c r="BL6" s="58">
        <f t="shared" si="31"/>
        <v>2113304.5314715635</v>
      </c>
      <c r="BM6" s="59">
        <v>3458.7635528978126</v>
      </c>
      <c r="BN6" s="59">
        <v>3360.030228365384</v>
      </c>
      <c r="BO6" s="33">
        <f t="shared" si="32"/>
        <v>0.02938465365547056</v>
      </c>
      <c r="BP6" s="204">
        <f t="shared" si="33"/>
        <v>0</v>
      </c>
      <c r="BQ6" s="60">
        <f t="shared" si="34"/>
        <v>0</v>
      </c>
      <c r="BR6" s="205">
        <f t="shared" si="35"/>
        <v>2298724.0314715635</v>
      </c>
      <c r="BS6" s="91">
        <f t="shared" si="36"/>
        <v>0</v>
      </c>
      <c r="BT6" s="91">
        <f t="shared" si="37"/>
        <v>745.42</v>
      </c>
      <c r="BU6" s="97">
        <f t="shared" si="38"/>
        <v>2297978.6114715636</v>
      </c>
      <c r="BV6" s="10"/>
      <c r="BW6" s="116">
        <f>VLOOKUP(A6,'EYSFF Universal Hrs'!$A$159:$W$216,23,0)</f>
        <v>168946.31020503677</v>
      </c>
      <c r="BX6" s="385">
        <f>VLOOKUP(A6,'EYSFF Extended Hrs'!$A$115:$W$172,11,0)</f>
        <v>71811.63073592167</v>
      </c>
      <c r="BY6" s="23"/>
      <c r="BZ6" s="23"/>
      <c r="CA6" s="199">
        <f>VLOOKUP(A6,'Top Up SEN'!A:E,5,0)</f>
        <v>23300</v>
      </c>
      <c r="CB6" s="199">
        <f>VLOOKUP(A6,'2% threshold'!A:H,8,0)</f>
        <v>0</v>
      </c>
      <c r="CC6" s="212"/>
      <c r="CD6" s="433">
        <f>VLOOKUP(A6,'[4]Pupil Premuim'!$B:$G,6,0)</f>
        <v>19800</v>
      </c>
      <c r="CE6" s="433">
        <f>VLOOKUP(A6,'[4]Pupil Premuim'!$K:$P,6,0)</f>
        <v>3600</v>
      </c>
      <c r="CF6" s="433">
        <f>VLOOKUP(A6,'[4]Pupil Premuim'!$T:$Z,7,0)</f>
        <v>6900</v>
      </c>
      <c r="CG6" s="433">
        <f>VLOOKUP(A6,'[4]PE+Sports'!$B$5:$P$54,15,0)</f>
        <v>21400</v>
      </c>
      <c r="CH6" s="433">
        <f>VLOOKUP(A6,'[4]UIFSM'!$B$5:$K$43,10,0)</f>
        <v>95703</v>
      </c>
      <c r="CI6" s="433"/>
      <c r="CJ6" s="433"/>
      <c r="CK6" s="433"/>
    </row>
    <row r="7" spans="1:89" ht="15">
      <c r="A7" s="37">
        <v>2010</v>
      </c>
      <c r="B7" s="10" t="s">
        <v>8</v>
      </c>
      <c r="C7" s="251">
        <v>600</v>
      </c>
      <c r="D7" s="254">
        <v>600</v>
      </c>
      <c r="E7" s="254">
        <v>0</v>
      </c>
      <c r="F7" s="254">
        <v>0</v>
      </c>
      <c r="G7" s="238">
        <v>0</v>
      </c>
      <c r="H7" s="254">
        <v>270.10309278350513</v>
      </c>
      <c r="I7" s="238">
        <v>0</v>
      </c>
      <c r="J7" s="254">
        <v>36</v>
      </c>
      <c r="K7" s="238">
        <v>190.0000000000002</v>
      </c>
      <c r="L7" s="254">
        <v>265.00000000000017</v>
      </c>
      <c r="M7" s="238">
        <v>28.000000000000018</v>
      </c>
      <c r="N7" s="254">
        <v>4.000000000000002</v>
      </c>
      <c r="O7" s="238">
        <v>0</v>
      </c>
      <c r="P7" s="254">
        <v>0</v>
      </c>
      <c r="Q7" s="238">
        <v>0</v>
      </c>
      <c r="R7" s="254">
        <v>0</v>
      </c>
      <c r="S7" s="254">
        <v>0</v>
      </c>
      <c r="T7" s="238">
        <v>0</v>
      </c>
      <c r="U7" s="254">
        <v>0</v>
      </c>
      <c r="V7" s="238">
        <v>132.8155339805826</v>
      </c>
      <c r="W7" s="254">
        <v>0</v>
      </c>
      <c r="X7" s="248">
        <v>121.7935498676081</v>
      </c>
      <c r="Y7" s="248">
        <v>0</v>
      </c>
      <c r="Z7" s="248">
        <v>26.99999999999999</v>
      </c>
      <c r="AA7" s="241">
        <v>0</v>
      </c>
      <c r="AB7" s="58">
        <f t="shared" si="1"/>
        <v>1908908.3976788418</v>
      </c>
      <c r="AC7" s="59">
        <f t="shared" si="2"/>
        <v>0</v>
      </c>
      <c r="AD7" s="59">
        <f t="shared" si="3"/>
        <v>0</v>
      </c>
      <c r="AE7" s="59">
        <f t="shared" si="4"/>
        <v>269519.6701030928</v>
      </c>
      <c r="AF7" s="59">
        <f t="shared" si="5"/>
        <v>0</v>
      </c>
      <c r="AG7" s="59">
        <f t="shared" si="6"/>
        <v>2343.6</v>
      </c>
      <c r="AH7" s="59">
        <f t="shared" si="7"/>
        <v>24738.000000000025</v>
      </c>
      <c r="AI7" s="59">
        <f t="shared" si="8"/>
        <v>51754.50000000004</v>
      </c>
      <c r="AJ7" s="59">
        <f t="shared" si="9"/>
        <v>7291.200000000004</v>
      </c>
      <c r="AK7" s="59">
        <f t="shared" si="10"/>
        <v>1302.0000000000007</v>
      </c>
      <c r="AL7" s="59">
        <f t="shared" si="11"/>
        <v>0</v>
      </c>
      <c r="AM7" s="59">
        <f t="shared" si="12"/>
        <v>0</v>
      </c>
      <c r="AN7" s="59">
        <f t="shared" si="13"/>
        <v>0</v>
      </c>
      <c r="AO7" s="59">
        <f t="shared" si="14"/>
        <v>0</v>
      </c>
      <c r="AP7" s="59">
        <f t="shared" si="15"/>
        <v>0</v>
      </c>
      <c r="AQ7" s="59">
        <f t="shared" si="16"/>
        <v>0</v>
      </c>
      <c r="AR7" s="256">
        <f t="shared" si="17"/>
        <v>0</v>
      </c>
      <c r="AS7" s="245">
        <f t="shared" si="18"/>
        <v>98161.30485436898</v>
      </c>
      <c r="AT7" s="254">
        <f t="shared" si="19"/>
        <v>0</v>
      </c>
      <c r="AU7" s="236">
        <f t="shared" si="20"/>
        <v>133972.9048543689</v>
      </c>
      <c r="AV7" s="59">
        <f t="shared" si="21"/>
        <v>0</v>
      </c>
      <c r="AW7" s="59">
        <f t="shared" si="22"/>
        <v>21599.999999999993</v>
      </c>
      <c r="AX7" s="59">
        <f t="shared" si="23"/>
        <v>0</v>
      </c>
      <c r="AY7" s="256">
        <v>140000</v>
      </c>
      <c r="AZ7" s="258">
        <v>49500</v>
      </c>
      <c r="BA7" s="258">
        <v>5107.92</v>
      </c>
      <c r="BB7" s="236"/>
      <c r="BC7" s="59"/>
      <c r="BD7" s="60">
        <v>0</v>
      </c>
      <c r="BE7" s="58">
        <f t="shared" si="24"/>
        <v>1908908.3976788418</v>
      </c>
      <c r="BF7" s="59">
        <f t="shared" si="25"/>
        <v>610683.1798118307</v>
      </c>
      <c r="BG7" s="59">
        <f t="shared" si="26"/>
        <v>194607.92</v>
      </c>
      <c r="BH7" s="60">
        <f t="shared" si="27"/>
        <v>133972.9048543689</v>
      </c>
      <c r="BI7" s="34">
        <f t="shared" si="28"/>
        <v>2714199.4974906724</v>
      </c>
      <c r="BJ7" s="59">
        <f t="shared" si="29"/>
        <v>2714199.4974906724</v>
      </c>
      <c r="BK7" s="60">
        <f t="shared" si="30"/>
        <v>0</v>
      </c>
      <c r="BL7" s="58">
        <f t="shared" si="31"/>
        <v>2519591.5774906725</v>
      </c>
      <c r="BM7" s="59">
        <v>4199.319260012788</v>
      </c>
      <c r="BN7" s="59">
        <v>4094.1782061749573</v>
      </c>
      <c r="BO7" s="33">
        <f t="shared" si="32"/>
        <v>0.02568062466827987</v>
      </c>
      <c r="BP7" s="204">
        <f t="shared" si="33"/>
        <v>0</v>
      </c>
      <c r="BQ7" s="60">
        <f t="shared" si="34"/>
        <v>0</v>
      </c>
      <c r="BR7" s="205">
        <f t="shared" si="35"/>
        <v>2714199.4974906724</v>
      </c>
      <c r="BS7" s="91">
        <f t="shared" si="36"/>
        <v>0</v>
      </c>
      <c r="BT7" s="91">
        <f t="shared" si="37"/>
        <v>732</v>
      </c>
      <c r="BU7" s="97">
        <f t="shared" si="38"/>
        <v>2713467.4974906724</v>
      </c>
      <c r="BV7" s="10"/>
      <c r="BW7" s="116">
        <f>VLOOKUP(A7,'EYSFF Universal Hrs'!$A$159:$W$216,23,0)</f>
        <v>213024.93378444426</v>
      </c>
      <c r="BX7" s="385">
        <f>VLOOKUP(A7,'EYSFF Extended Hrs'!$A$115:$W$172,11,0)</f>
        <v>51108.80467812272</v>
      </c>
      <c r="BY7" s="23"/>
      <c r="BZ7" s="23"/>
      <c r="CA7" s="199">
        <f>VLOOKUP(A7,'Top Up SEN'!A:E,5,0)</f>
        <v>90201</v>
      </c>
      <c r="CB7" s="199">
        <f>VLOOKUP(A7,'2% threshold'!A:H,8,0)</f>
        <v>24000</v>
      </c>
      <c r="CC7" s="212"/>
      <c r="CD7" s="433">
        <f>VLOOKUP(A7,'[4]Pupil Premuim'!$B:$G,6,0)</f>
        <v>339240</v>
      </c>
      <c r="CE7" s="433">
        <v>0</v>
      </c>
      <c r="CF7" s="433">
        <f>VLOOKUP(A7,'[4]Pupil Premuim'!$T:$Z,7,0)</f>
        <v>2300</v>
      </c>
      <c r="CG7" s="433">
        <f>VLOOKUP(A7,'[4]PE+Sports'!$B$5:$P$54,15,0)</f>
        <v>21150</v>
      </c>
      <c r="CH7" s="433">
        <f>VLOOKUP(A7,'[4]UIFSM'!$B$5:$K$43,10,0)</f>
        <v>69046</v>
      </c>
      <c r="CI7" s="433"/>
      <c r="CJ7" s="433"/>
      <c r="CK7" s="433"/>
    </row>
    <row r="8" spans="1:89" ht="15">
      <c r="A8" s="37">
        <v>2012</v>
      </c>
      <c r="B8" s="10" t="s">
        <v>10</v>
      </c>
      <c r="C8" s="251">
        <v>239</v>
      </c>
      <c r="D8" s="254">
        <v>239</v>
      </c>
      <c r="E8" s="254">
        <v>0</v>
      </c>
      <c r="F8" s="254">
        <v>0</v>
      </c>
      <c r="G8" s="238">
        <v>0</v>
      </c>
      <c r="H8" s="254">
        <v>47.032128514056225</v>
      </c>
      <c r="I8" s="238">
        <v>0</v>
      </c>
      <c r="J8" s="254">
        <v>7.999999999999991</v>
      </c>
      <c r="K8" s="238">
        <v>68.00000000000003</v>
      </c>
      <c r="L8" s="254">
        <v>0.9999999999999994</v>
      </c>
      <c r="M8" s="238">
        <v>1.999999999999999</v>
      </c>
      <c r="N8" s="254">
        <v>0</v>
      </c>
      <c r="O8" s="238">
        <v>0</v>
      </c>
      <c r="P8" s="254">
        <v>0</v>
      </c>
      <c r="Q8" s="238">
        <v>0</v>
      </c>
      <c r="R8" s="254">
        <v>0</v>
      </c>
      <c r="S8" s="254">
        <v>0</v>
      </c>
      <c r="T8" s="238">
        <v>0</v>
      </c>
      <c r="U8" s="254">
        <v>0</v>
      </c>
      <c r="V8" s="238">
        <v>56.15060240963866</v>
      </c>
      <c r="W8" s="254">
        <v>0</v>
      </c>
      <c r="X8" s="248">
        <v>31.715890123456738</v>
      </c>
      <c r="Y8" s="248">
        <v>0</v>
      </c>
      <c r="Z8" s="248">
        <v>0</v>
      </c>
      <c r="AA8" s="241">
        <v>0</v>
      </c>
      <c r="AB8" s="58">
        <f t="shared" si="1"/>
        <v>760381.8450754053</v>
      </c>
      <c r="AC8" s="59">
        <f t="shared" si="2"/>
        <v>0</v>
      </c>
      <c r="AD8" s="59">
        <f t="shared" si="3"/>
        <v>0</v>
      </c>
      <c r="AE8" s="59">
        <f t="shared" si="4"/>
        <v>46930.539116465865</v>
      </c>
      <c r="AF8" s="59">
        <f t="shared" si="5"/>
        <v>0</v>
      </c>
      <c r="AG8" s="59">
        <f t="shared" si="6"/>
        <v>520.7999999999994</v>
      </c>
      <c r="AH8" s="59">
        <f t="shared" si="7"/>
        <v>8853.600000000002</v>
      </c>
      <c r="AI8" s="59">
        <f t="shared" si="8"/>
        <v>195.2999999999999</v>
      </c>
      <c r="AJ8" s="59">
        <f t="shared" si="9"/>
        <v>520.7999999999996</v>
      </c>
      <c r="AK8" s="59">
        <f t="shared" si="10"/>
        <v>0</v>
      </c>
      <c r="AL8" s="59">
        <f t="shared" si="11"/>
        <v>0</v>
      </c>
      <c r="AM8" s="59">
        <f t="shared" si="12"/>
        <v>0</v>
      </c>
      <c r="AN8" s="59">
        <f t="shared" si="13"/>
        <v>0</v>
      </c>
      <c r="AO8" s="59">
        <f t="shared" si="14"/>
        <v>0</v>
      </c>
      <c r="AP8" s="59">
        <f t="shared" si="15"/>
        <v>0</v>
      </c>
      <c r="AQ8" s="59">
        <f t="shared" si="16"/>
        <v>0</v>
      </c>
      <c r="AR8" s="256">
        <f t="shared" si="17"/>
        <v>0</v>
      </c>
      <c r="AS8" s="245">
        <f t="shared" si="18"/>
        <v>41499.78722891574</v>
      </c>
      <c r="AT8" s="254">
        <f t="shared" si="19"/>
        <v>0</v>
      </c>
      <c r="AU8" s="236">
        <f t="shared" si="20"/>
        <v>34887.47913580241</v>
      </c>
      <c r="AV8" s="59">
        <f t="shared" si="21"/>
        <v>0</v>
      </c>
      <c r="AW8" s="59">
        <f t="shared" si="22"/>
        <v>0</v>
      </c>
      <c r="AX8" s="59">
        <f t="shared" si="23"/>
        <v>0</v>
      </c>
      <c r="AY8" s="256">
        <v>140000</v>
      </c>
      <c r="AZ8" s="258">
        <v>26160</v>
      </c>
      <c r="BA8" s="258">
        <v>1543.79</v>
      </c>
      <c r="BB8" s="236"/>
      <c r="BC8" s="59"/>
      <c r="BD8" s="60">
        <v>0</v>
      </c>
      <c r="BE8" s="58">
        <f t="shared" si="24"/>
        <v>760381.8450754053</v>
      </c>
      <c r="BF8" s="59">
        <f t="shared" si="25"/>
        <v>133408.30548118404</v>
      </c>
      <c r="BG8" s="59">
        <f t="shared" si="26"/>
        <v>167703.79</v>
      </c>
      <c r="BH8" s="60">
        <f t="shared" si="27"/>
        <v>34887.47913580241</v>
      </c>
      <c r="BI8" s="34">
        <f t="shared" si="28"/>
        <v>1061493.9405565893</v>
      </c>
      <c r="BJ8" s="59">
        <f t="shared" si="29"/>
        <v>1061493.9405565893</v>
      </c>
      <c r="BK8" s="60">
        <f t="shared" si="30"/>
        <v>0</v>
      </c>
      <c r="BL8" s="58">
        <f t="shared" si="31"/>
        <v>893790.1505565892</v>
      </c>
      <c r="BM8" s="59">
        <v>3739.707737466901</v>
      </c>
      <c r="BN8" s="59">
        <v>3829.8022326271184</v>
      </c>
      <c r="BO8" s="33">
        <f t="shared" si="32"/>
        <v>-0.02352458160702869</v>
      </c>
      <c r="BP8" s="204">
        <f t="shared" si="33"/>
        <v>0.008524581607028691</v>
      </c>
      <c r="BQ8" s="60">
        <f t="shared" si="34"/>
        <v>7802.743339323722</v>
      </c>
      <c r="BR8" s="205">
        <f t="shared" si="35"/>
        <v>1069296.683895913</v>
      </c>
      <c r="BS8" s="91">
        <f t="shared" si="36"/>
        <v>0</v>
      </c>
      <c r="BT8" s="91">
        <f t="shared" si="37"/>
        <v>291.58</v>
      </c>
      <c r="BU8" s="97">
        <f t="shared" si="38"/>
        <v>1069005.1038959129</v>
      </c>
      <c r="BV8" s="10"/>
      <c r="BW8" s="116">
        <f>VLOOKUP(A8,'EYSFF Universal Hrs'!$A$159:$W$216,23,0)</f>
        <v>187100.39531515926</v>
      </c>
      <c r="BX8" s="385">
        <f>VLOOKUP(A8,'EYSFF Extended Hrs'!$A$115:$W$172,11,0)</f>
        <v>22676.474400962656</v>
      </c>
      <c r="BY8" s="23"/>
      <c r="BZ8" s="23"/>
      <c r="CA8" s="199">
        <f>VLOOKUP(A8,'Top Up SEN'!A:E,5,0)</f>
        <v>53500</v>
      </c>
      <c r="CB8" s="199">
        <f>VLOOKUP(A8,'2% threshold'!A:H,8,0)</f>
        <v>12000</v>
      </c>
      <c r="CC8" s="212"/>
      <c r="CD8" s="433">
        <f>VLOOKUP(A8,'[4]Pupil Premuim'!$B:$G,6,0)</f>
        <v>63360</v>
      </c>
      <c r="CE8" s="433">
        <f>VLOOKUP(A8,'[4]Pupil Premuim'!$K:$P,6,0)</f>
        <v>2100</v>
      </c>
      <c r="CF8" s="433">
        <f>VLOOKUP(A8,'[4]Pupil Premuim'!$T:$Z,7,0)</f>
        <v>6900</v>
      </c>
      <c r="CG8" s="433">
        <f>VLOOKUP(A8,'[4]PE+Sports'!$B$5:$P$54,15,0)</f>
        <v>17660</v>
      </c>
      <c r="CH8" s="433">
        <f>VLOOKUP(A8,'[4]UIFSM'!$B$5:$K$43,10,0)</f>
        <v>73853</v>
      </c>
      <c r="CI8" s="433"/>
      <c r="CJ8" s="433"/>
      <c r="CK8" s="433"/>
    </row>
    <row r="9" spans="1:89" ht="15">
      <c r="A9" s="37">
        <v>2016</v>
      </c>
      <c r="B9" s="10" t="s">
        <v>11</v>
      </c>
      <c r="C9" s="251">
        <v>616</v>
      </c>
      <c r="D9" s="254">
        <v>616</v>
      </c>
      <c r="E9" s="254">
        <v>0</v>
      </c>
      <c r="F9" s="254">
        <v>0</v>
      </c>
      <c r="G9" s="238">
        <v>0</v>
      </c>
      <c r="H9" s="254">
        <v>147.21355932203392</v>
      </c>
      <c r="I9" s="238">
        <v>0</v>
      </c>
      <c r="J9" s="254">
        <v>121.1967479674798</v>
      </c>
      <c r="K9" s="238">
        <v>73.11869918699192</v>
      </c>
      <c r="L9" s="254">
        <v>25.04065040650404</v>
      </c>
      <c r="M9" s="238">
        <v>4.0065040650406525</v>
      </c>
      <c r="N9" s="254">
        <v>11.017886178861778</v>
      </c>
      <c r="O9" s="238">
        <v>0</v>
      </c>
      <c r="P9" s="254">
        <v>0</v>
      </c>
      <c r="Q9" s="238">
        <v>0</v>
      </c>
      <c r="R9" s="254">
        <v>0</v>
      </c>
      <c r="S9" s="254">
        <v>0</v>
      </c>
      <c r="T9" s="238">
        <v>0</v>
      </c>
      <c r="U9" s="254">
        <v>0</v>
      </c>
      <c r="V9" s="238">
        <v>132.16858237547888</v>
      </c>
      <c r="W9" s="254">
        <v>0</v>
      </c>
      <c r="X9" s="248">
        <v>115.86090268016898</v>
      </c>
      <c r="Y9" s="248">
        <v>0</v>
      </c>
      <c r="Z9" s="248">
        <v>0</v>
      </c>
      <c r="AA9" s="241">
        <v>0</v>
      </c>
      <c r="AB9" s="58">
        <f t="shared" si="1"/>
        <v>1959812.6216169442</v>
      </c>
      <c r="AC9" s="59">
        <f t="shared" si="2"/>
        <v>0</v>
      </c>
      <c r="AD9" s="59">
        <f t="shared" si="3"/>
        <v>0</v>
      </c>
      <c r="AE9" s="59">
        <f t="shared" si="4"/>
        <v>146895.57803389832</v>
      </c>
      <c r="AF9" s="59">
        <f t="shared" si="5"/>
        <v>0</v>
      </c>
      <c r="AG9" s="59">
        <f t="shared" si="6"/>
        <v>7889.908292682934</v>
      </c>
      <c r="AH9" s="59">
        <f t="shared" si="7"/>
        <v>9520.054634146347</v>
      </c>
      <c r="AI9" s="59">
        <f t="shared" si="8"/>
        <v>4890.439024390239</v>
      </c>
      <c r="AJ9" s="59">
        <f t="shared" si="9"/>
        <v>1043.2936585365858</v>
      </c>
      <c r="AK9" s="59">
        <f t="shared" si="10"/>
        <v>3586.3219512195087</v>
      </c>
      <c r="AL9" s="59">
        <f t="shared" si="11"/>
        <v>0</v>
      </c>
      <c r="AM9" s="59">
        <f t="shared" si="12"/>
        <v>0</v>
      </c>
      <c r="AN9" s="59">
        <f t="shared" si="13"/>
        <v>0</v>
      </c>
      <c r="AO9" s="59">
        <f t="shared" si="14"/>
        <v>0</v>
      </c>
      <c r="AP9" s="59">
        <f t="shared" si="15"/>
        <v>0</v>
      </c>
      <c r="AQ9" s="59">
        <f t="shared" si="16"/>
        <v>0</v>
      </c>
      <c r="AR9" s="256">
        <f t="shared" si="17"/>
        <v>0</v>
      </c>
      <c r="AS9" s="245">
        <f t="shared" si="18"/>
        <v>97683.15586206893</v>
      </c>
      <c r="AT9" s="254">
        <f t="shared" si="19"/>
        <v>0</v>
      </c>
      <c r="AU9" s="236">
        <f t="shared" si="20"/>
        <v>127446.99294818587</v>
      </c>
      <c r="AV9" s="59">
        <f t="shared" si="21"/>
        <v>0</v>
      </c>
      <c r="AW9" s="59">
        <f t="shared" si="22"/>
        <v>0</v>
      </c>
      <c r="AX9" s="59">
        <f t="shared" si="23"/>
        <v>0</v>
      </c>
      <c r="AY9" s="256">
        <v>140000</v>
      </c>
      <c r="AZ9" s="258">
        <v>59000</v>
      </c>
      <c r="BA9" s="258">
        <v>13582.39</v>
      </c>
      <c r="BB9" s="236"/>
      <c r="BC9" s="59"/>
      <c r="BD9" s="60">
        <v>0</v>
      </c>
      <c r="BE9" s="58">
        <f t="shared" si="24"/>
        <v>1959812.6216169442</v>
      </c>
      <c r="BF9" s="59">
        <f t="shared" si="25"/>
        <v>398955.74440512876</v>
      </c>
      <c r="BG9" s="59">
        <f t="shared" si="26"/>
        <v>212582.39</v>
      </c>
      <c r="BH9" s="60">
        <f t="shared" si="27"/>
        <v>127446.99294818587</v>
      </c>
      <c r="BI9" s="34">
        <f t="shared" si="28"/>
        <v>2571350.756022073</v>
      </c>
      <c r="BJ9" s="59">
        <f t="shared" si="29"/>
        <v>2571350.756022073</v>
      </c>
      <c r="BK9" s="60">
        <f t="shared" si="30"/>
        <v>0</v>
      </c>
      <c r="BL9" s="58">
        <f t="shared" si="31"/>
        <v>2358768.3660220727</v>
      </c>
      <c r="BM9" s="59">
        <v>3829.1694065714837</v>
      </c>
      <c r="BN9" s="59">
        <v>3727.7808524054985</v>
      </c>
      <c r="BO9" s="33">
        <f t="shared" si="32"/>
        <v>0.027198099400226324</v>
      </c>
      <c r="BP9" s="204">
        <f t="shared" si="33"/>
        <v>0</v>
      </c>
      <c r="BQ9" s="60">
        <f t="shared" si="34"/>
        <v>0</v>
      </c>
      <c r="BR9" s="205">
        <f t="shared" si="35"/>
        <v>2571350.756022073</v>
      </c>
      <c r="BS9" s="91">
        <f t="shared" si="36"/>
        <v>0</v>
      </c>
      <c r="BT9" s="91">
        <f t="shared" si="37"/>
        <v>751.52</v>
      </c>
      <c r="BU9" s="97">
        <f t="shared" si="38"/>
        <v>2570599.236022073</v>
      </c>
      <c r="BV9" s="10"/>
      <c r="BW9" s="116">
        <f>VLOOKUP(A9,'EYSFF Universal Hrs'!$A$159:$W$216,23,0)</f>
        <v>241932.55951517736</v>
      </c>
      <c r="BX9" s="385">
        <f>VLOOKUP(A9,'EYSFF Extended Hrs'!$A$115:$W$172,11,0)</f>
        <v>45533.792380407525</v>
      </c>
      <c r="BY9" s="23"/>
      <c r="BZ9" s="23"/>
      <c r="CA9" s="199">
        <f>VLOOKUP(A9,'Top Up SEN'!A:E,5,0)</f>
        <v>45116</v>
      </c>
      <c r="CB9" s="199">
        <f>VLOOKUP(A9,'2% threshold'!A:H,8,0)</f>
        <v>0</v>
      </c>
      <c r="CC9" s="212"/>
      <c r="CD9" s="433">
        <f>VLOOKUP(A9,'[4]Pupil Premuim'!$B:$G,6,0)</f>
        <v>184800</v>
      </c>
      <c r="CE9" s="433">
        <f>VLOOKUP(A9,'[4]Pupil Premuim'!$K:$P,6,0)</f>
        <v>600</v>
      </c>
      <c r="CF9" s="433">
        <v>0</v>
      </c>
      <c r="CG9" s="433">
        <f>VLOOKUP(A9,'[4]PE+Sports'!$B$5:$P$54,15,0)</f>
        <v>21230</v>
      </c>
      <c r="CH9" s="433">
        <f>VLOOKUP(A9,'[4]UIFSM'!$B$5:$K$43,10,0)</f>
        <v>91333</v>
      </c>
      <c r="CI9" s="433"/>
      <c r="CJ9" s="433"/>
      <c r="CK9" s="433"/>
    </row>
    <row r="10" spans="1:89" ht="15">
      <c r="A10" s="37">
        <v>2018</v>
      </c>
      <c r="B10" s="10" t="s">
        <v>12</v>
      </c>
      <c r="C10" s="251">
        <v>404</v>
      </c>
      <c r="D10" s="254">
        <v>404</v>
      </c>
      <c r="E10" s="254">
        <v>0</v>
      </c>
      <c r="F10" s="254">
        <v>0</v>
      </c>
      <c r="G10" s="238">
        <v>0</v>
      </c>
      <c r="H10" s="254">
        <v>76.46035805626599</v>
      </c>
      <c r="I10" s="238">
        <v>0</v>
      </c>
      <c r="J10" s="254">
        <v>32.07940446650124</v>
      </c>
      <c r="K10" s="238">
        <v>50.12406947890835</v>
      </c>
      <c r="L10" s="254">
        <v>18.044665012406952</v>
      </c>
      <c r="M10" s="238">
        <v>4.0099255583126565</v>
      </c>
      <c r="N10" s="254">
        <v>6.014888337468971</v>
      </c>
      <c r="O10" s="238">
        <v>0</v>
      </c>
      <c r="P10" s="254">
        <v>0</v>
      </c>
      <c r="Q10" s="238">
        <v>0</v>
      </c>
      <c r="R10" s="254">
        <v>0</v>
      </c>
      <c r="S10" s="254">
        <v>0</v>
      </c>
      <c r="T10" s="238">
        <v>0</v>
      </c>
      <c r="U10" s="254">
        <v>0</v>
      </c>
      <c r="V10" s="238">
        <v>50.9999999999999</v>
      </c>
      <c r="W10" s="254">
        <v>0</v>
      </c>
      <c r="X10" s="248">
        <v>85.45389751170237</v>
      </c>
      <c r="Y10" s="248">
        <v>0</v>
      </c>
      <c r="Z10" s="248">
        <v>0</v>
      </c>
      <c r="AA10" s="241">
        <v>0</v>
      </c>
      <c r="AB10" s="58">
        <f t="shared" si="1"/>
        <v>1285331.6544370868</v>
      </c>
      <c r="AC10" s="59">
        <f t="shared" si="2"/>
        <v>0</v>
      </c>
      <c r="AD10" s="59">
        <f t="shared" si="3"/>
        <v>0</v>
      </c>
      <c r="AE10" s="59">
        <f t="shared" si="4"/>
        <v>76295.20368286446</v>
      </c>
      <c r="AF10" s="59">
        <f t="shared" si="5"/>
        <v>0</v>
      </c>
      <c r="AG10" s="59">
        <f t="shared" si="6"/>
        <v>2088.3692307692304</v>
      </c>
      <c r="AH10" s="59">
        <f t="shared" si="7"/>
        <v>6526.153846153867</v>
      </c>
      <c r="AI10" s="59">
        <f t="shared" si="8"/>
        <v>3524.123076923078</v>
      </c>
      <c r="AJ10" s="59">
        <f t="shared" si="9"/>
        <v>1044.1846153846157</v>
      </c>
      <c r="AK10" s="59">
        <f t="shared" si="10"/>
        <v>1957.8461538461502</v>
      </c>
      <c r="AL10" s="59">
        <f t="shared" si="11"/>
        <v>0</v>
      </c>
      <c r="AM10" s="59">
        <f t="shared" si="12"/>
        <v>0</v>
      </c>
      <c r="AN10" s="59">
        <f t="shared" si="13"/>
        <v>0</v>
      </c>
      <c r="AO10" s="59">
        <f t="shared" si="14"/>
        <v>0</v>
      </c>
      <c r="AP10" s="59">
        <f t="shared" si="15"/>
        <v>0</v>
      </c>
      <c r="AQ10" s="59">
        <f t="shared" si="16"/>
        <v>0</v>
      </c>
      <c r="AR10" s="256">
        <f t="shared" si="17"/>
        <v>0</v>
      </c>
      <c r="AS10" s="245">
        <f t="shared" si="18"/>
        <v>37693.07999999993</v>
      </c>
      <c r="AT10" s="254">
        <f t="shared" si="19"/>
        <v>0</v>
      </c>
      <c r="AU10" s="236">
        <f t="shared" si="20"/>
        <v>93999.2872628726</v>
      </c>
      <c r="AV10" s="59">
        <f t="shared" si="21"/>
        <v>0</v>
      </c>
      <c r="AW10" s="59">
        <f t="shared" si="22"/>
        <v>0</v>
      </c>
      <c r="AX10" s="59">
        <f t="shared" si="23"/>
        <v>0</v>
      </c>
      <c r="AY10" s="256">
        <v>140000</v>
      </c>
      <c r="AZ10" s="258">
        <v>38750</v>
      </c>
      <c r="BA10" s="258">
        <v>10894.75</v>
      </c>
      <c r="BB10" s="236"/>
      <c r="BC10" s="59"/>
      <c r="BD10" s="60">
        <v>0</v>
      </c>
      <c r="BE10" s="58">
        <f t="shared" si="24"/>
        <v>1285331.6544370868</v>
      </c>
      <c r="BF10" s="59">
        <f t="shared" si="25"/>
        <v>223128.24786881392</v>
      </c>
      <c r="BG10" s="59">
        <f t="shared" si="26"/>
        <v>189644.75</v>
      </c>
      <c r="BH10" s="60">
        <f t="shared" si="27"/>
        <v>93999.2872628726</v>
      </c>
      <c r="BI10" s="34">
        <f t="shared" si="28"/>
        <v>1698104.6523059006</v>
      </c>
      <c r="BJ10" s="59">
        <f t="shared" si="29"/>
        <v>1698104.6523059006</v>
      </c>
      <c r="BK10" s="60">
        <f t="shared" si="30"/>
        <v>0</v>
      </c>
      <c r="BL10" s="58">
        <f t="shared" si="31"/>
        <v>1508459.9023059006</v>
      </c>
      <c r="BM10" s="59">
        <v>3733.8116207941184</v>
      </c>
      <c r="BN10" s="59">
        <v>3650.8148830334194</v>
      </c>
      <c r="BO10" s="33">
        <f t="shared" si="32"/>
        <v>0.02273375682410334</v>
      </c>
      <c r="BP10" s="204">
        <f t="shared" si="33"/>
        <v>0</v>
      </c>
      <c r="BQ10" s="60">
        <f t="shared" si="34"/>
        <v>0</v>
      </c>
      <c r="BR10" s="205">
        <f t="shared" si="35"/>
        <v>1698104.6523059006</v>
      </c>
      <c r="BS10" s="91">
        <f t="shared" si="36"/>
        <v>0</v>
      </c>
      <c r="BT10" s="91">
        <f t="shared" si="37"/>
        <v>492.88</v>
      </c>
      <c r="BU10" s="97">
        <f t="shared" si="38"/>
        <v>1697611.7723059007</v>
      </c>
      <c r="BV10" s="10"/>
      <c r="BW10" s="116"/>
      <c r="BX10" s="385"/>
      <c r="BY10" s="23">
        <v>63160</v>
      </c>
      <c r="BZ10" s="23"/>
      <c r="CA10" s="199">
        <f>VLOOKUP(A10,'Top Up SEN'!A:E,5,0)</f>
        <v>44066</v>
      </c>
      <c r="CB10" s="199">
        <f>VLOOKUP(A10,'2% threshold'!A:H,8,0)</f>
        <v>0</v>
      </c>
      <c r="CC10" s="212"/>
      <c r="CD10" s="433">
        <f>VLOOKUP(A10,'[4]Pupil Premuim'!$B:$G,6,0)</f>
        <v>97680</v>
      </c>
      <c r="CE10" s="433">
        <v>0</v>
      </c>
      <c r="CF10" s="433">
        <v>0</v>
      </c>
      <c r="CG10" s="433">
        <f>VLOOKUP(A10,'[4]PE+Sports'!$B$5:$P$54,15,0)</f>
        <v>20040</v>
      </c>
      <c r="CH10" s="433"/>
      <c r="CI10" s="433"/>
      <c r="CJ10" s="433"/>
      <c r="CK10" s="433"/>
    </row>
    <row r="11" spans="1:89" ht="15">
      <c r="A11" s="37">
        <v>2019</v>
      </c>
      <c r="B11" s="115" t="s">
        <v>154</v>
      </c>
      <c r="C11" s="251">
        <v>352</v>
      </c>
      <c r="D11" s="254">
        <v>352</v>
      </c>
      <c r="E11" s="254">
        <v>0</v>
      </c>
      <c r="F11" s="254">
        <v>0</v>
      </c>
      <c r="G11" s="238">
        <v>0</v>
      </c>
      <c r="H11" s="254">
        <v>43.38375350140056</v>
      </c>
      <c r="I11" s="238">
        <v>0</v>
      </c>
      <c r="J11" s="254">
        <v>35.00000000000001</v>
      </c>
      <c r="K11" s="238">
        <v>55</v>
      </c>
      <c r="L11" s="254">
        <v>14.000000000000009</v>
      </c>
      <c r="M11" s="238">
        <v>2.999999999999999</v>
      </c>
      <c r="N11" s="254">
        <v>1.9999999999999996</v>
      </c>
      <c r="O11" s="238">
        <v>0</v>
      </c>
      <c r="P11" s="254">
        <v>0</v>
      </c>
      <c r="Q11" s="238">
        <v>0</v>
      </c>
      <c r="R11" s="254">
        <v>0</v>
      </c>
      <c r="S11" s="254">
        <v>0</v>
      </c>
      <c r="T11" s="238">
        <v>0</v>
      </c>
      <c r="U11" s="254">
        <v>0</v>
      </c>
      <c r="V11" s="238">
        <v>173.77215189873405</v>
      </c>
      <c r="W11" s="254">
        <v>0</v>
      </c>
      <c r="X11" s="248">
        <v>48.851883760683684</v>
      </c>
      <c r="Y11" s="248">
        <v>0</v>
      </c>
      <c r="Z11" s="248">
        <v>0</v>
      </c>
      <c r="AA11" s="241">
        <v>0</v>
      </c>
      <c r="AB11" s="58">
        <f t="shared" si="1"/>
        <v>1119892.926638254</v>
      </c>
      <c r="AC11" s="59">
        <f t="shared" si="2"/>
        <v>0</v>
      </c>
      <c r="AD11" s="59">
        <f t="shared" si="3"/>
        <v>0</v>
      </c>
      <c r="AE11" s="59">
        <f t="shared" si="4"/>
        <v>43290.04459383754</v>
      </c>
      <c r="AF11" s="59">
        <f t="shared" si="5"/>
        <v>0</v>
      </c>
      <c r="AG11" s="59">
        <f t="shared" si="6"/>
        <v>2278.5000000000005</v>
      </c>
      <c r="AH11" s="59">
        <f t="shared" si="7"/>
        <v>7160.999999999999</v>
      </c>
      <c r="AI11" s="59">
        <f t="shared" si="8"/>
        <v>2734.200000000002</v>
      </c>
      <c r="AJ11" s="59">
        <f t="shared" si="9"/>
        <v>781.1999999999997</v>
      </c>
      <c r="AK11" s="59">
        <f t="shared" si="10"/>
        <v>650.9999999999999</v>
      </c>
      <c r="AL11" s="59">
        <f t="shared" si="11"/>
        <v>0</v>
      </c>
      <c r="AM11" s="59">
        <f t="shared" si="12"/>
        <v>0</v>
      </c>
      <c r="AN11" s="59">
        <f t="shared" si="13"/>
        <v>0</v>
      </c>
      <c r="AO11" s="59">
        <f t="shared" si="14"/>
        <v>0</v>
      </c>
      <c r="AP11" s="59">
        <f t="shared" si="15"/>
        <v>0</v>
      </c>
      <c r="AQ11" s="59">
        <f t="shared" si="16"/>
        <v>0</v>
      </c>
      <c r="AR11" s="256">
        <f t="shared" si="17"/>
        <v>0</v>
      </c>
      <c r="AS11" s="245">
        <f t="shared" si="18"/>
        <v>128431.52202531637</v>
      </c>
      <c r="AT11" s="254">
        <f t="shared" si="19"/>
        <v>0</v>
      </c>
      <c r="AU11" s="236">
        <f t="shared" si="20"/>
        <v>53737.07213675205</v>
      </c>
      <c r="AV11" s="59">
        <f t="shared" si="21"/>
        <v>0</v>
      </c>
      <c r="AW11" s="59">
        <f t="shared" si="22"/>
        <v>0</v>
      </c>
      <c r="AX11" s="59">
        <f t="shared" si="23"/>
        <v>0</v>
      </c>
      <c r="AY11" s="256">
        <v>140000</v>
      </c>
      <c r="AZ11" s="258">
        <v>38750</v>
      </c>
      <c r="BA11" s="258">
        <v>10894.75</v>
      </c>
      <c r="BB11" s="236"/>
      <c r="BC11" s="59"/>
      <c r="BD11" s="60">
        <v>0</v>
      </c>
      <c r="BE11" s="58">
        <f t="shared" si="24"/>
        <v>1119892.926638254</v>
      </c>
      <c r="BF11" s="59">
        <f t="shared" si="25"/>
        <v>239064.53875590596</v>
      </c>
      <c r="BG11" s="59">
        <f t="shared" si="26"/>
        <v>189644.75</v>
      </c>
      <c r="BH11" s="60">
        <f t="shared" si="27"/>
        <v>53737.07213675205</v>
      </c>
      <c r="BI11" s="34">
        <f t="shared" si="28"/>
        <v>1548602.21539416</v>
      </c>
      <c r="BJ11" s="59">
        <f t="shared" si="29"/>
        <v>1548602.21539416</v>
      </c>
      <c r="BK11" s="60">
        <f t="shared" si="30"/>
        <v>0</v>
      </c>
      <c r="BL11" s="58">
        <f t="shared" si="31"/>
        <v>1358957.46539416</v>
      </c>
      <c r="BM11" s="59">
        <v>3860.67460742517</v>
      </c>
      <c r="BN11" s="59">
        <v>3748.718279665739</v>
      </c>
      <c r="BO11" s="33">
        <f t="shared" si="32"/>
        <v>0.02986522843466752</v>
      </c>
      <c r="BP11" s="204">
        <f t="shared" si="33"/>
        <v>0</v>
      </c>
      <c r="BQ11" s="60">
        <f t="shared" si="34"/>
        <v>0</v>
      </c>
      <c r="BR11" s="205">
        <f t="shared" si="35"/>
        <v>1548602.21539416</v>
      </c>
      <c r="BS11" s="91">
        <f t="shared" si="36"/>
        <v>0</v>
      </c>
      <c r="BT11" s="91">
        <f t="shared" si="37"/>
        <v>429.44</v>
      </c>
      <c r="BU11" s="97">
        <f t="shared" si="38"/>
        <v>1548172.77539416</v>
      </c>
      <c r="BV11" s="10"/>
      <c r="BW11" s="116">
        <f>VLOOKUP(A11,'EYSFF Universal Hrs'!$A$159:$W$216,23,0)</f>
        <v>323072.0566617618</v>
      </c>
      <c r="BX11" s="385">
        <f>VLOOKUP(A11,'EYSFF Extended Hrs'!$A$115:$W$172,11,0)</f>
        <v>0</v>
      </c>
      <c r="BY11" s="23"/>
      <c r="BZ11" s="23"/>
      <c r="CA11" s="199">
        <f>VLOOKUP(A11,'Top Up SEN'!A:E,5,0)</f>
        <v>43034</v>
      </c>
      <c r="CB11" s="199">
        <f>VLOOKUP(A11,'2% threshold'!A:H,8,0)</f>
        <v>30000</v>
      </c>
      <c r="CC11" s="212"/>
      <c r="CD11" s="433">
        <f>VLOOKUP(A11,'[4]Pupil Premuim'!$B:$G,6,0)</f>
        <v>58080</v>
      </c>
      <c r="CE11" s="433">
        <f>VLOOKUP(A11,'[4]Pupil Premuim'!$K:$P,6,0)</f>
        <v>0</v>
      </c>
      <c r="CF11" s="433">
        <v>0</v>
      </c>
      <c r="CG11" s="433">
        <f>VLOOKUP(A11,'[4]PE+Sports'!$B$5:$P$54,15,0)</f>
        <v>18370</v>
      </c>
      <c r="CH11" s="433">
        <f>VLOOKUP(A11,'[4]UIFSM'!$B$5:$K$43,10,0)</f>
        <v>133285</v>
      </c>
      <c r="CI11" s="433"/>
      <c r="CJ11" s="433"/>
      <c r="CK11" s="433"/>
    </row>
    <row r="12" spans="1:89" ht="15">
      <c r="A12" s="37">
        <v>2020</v>
      </c>
      <c r="B12" s="10" t="s">
        <v>13</v>
      </c>
      <c r="C12" s="251">
        <v>543</v>
      </c>
      <c r="D12" s="254">
        <v>543</v>
      </c>
      <c r="E12" s="254">
        <v>0</v>
      </c>
      <c r="F12" s="254">
        <v>0</v>
      </c>
      <c r="G12" s="238">
        <v>0</v>
      </c>
      <c r="H12" s="254">
        <v>38.10526315789473</v>
      </c>
      <c r="I12" s="238">
        <v>0</v>
      </c>
      <c r="J12" s="254">
        <v>47</v>
      </c>
      <c r="K12" s="238">
        <v>23.999999999999996</v>
      </c>
      <c r="L12" s="254">
        <v>21.000000000000014</v>
      </c>
      <c r="M12" s="238">
        <v>3.999999999999999</v>
      </c>
      <c r="N12" s="254">
        <v>3.000000000000001</v>
      </c>
      <c r="O12" s="238">
        <v>0</v>
      </c>
      <c r="P12" s="254">
        <v>0</v>
      </c>
      <c r="Q12" s="238">
        <v>0</v>
      </c>
      <c r="R12" s="254">
        <v>0</v>
      </c>
      <c r="S12" s="254">
        <v>0</v>
      </c>
      <c r="T12" s="238">
        <v>0</v>
      </c>
      <c r="U12" s="254">
        <v>0</v>
      </c>
      <c r="V12" s="238">
        <v>51.54304635761591</v>
      </c>
      <c r="W12" s="254">
        <v>0</v>
      </c>
      <c r="X12" s="248">
        <v>81.31864763410454</v>
      </c>
      <c r="Y12" s="248">
        <v>0</v>
      </c>
      <c r="Z12" s="248">
        <v>0</v>
      </c>
      <c r="AA12" s="241">
        <v>0</v>
      </c>
      <c r="AB12" s="58">
        <f t="shared" si="1"/>
        <v>1727562.0998993518</v>
      </c>
      <c r="AC12" s="59">
        <f t="shared" si="2"/>
        <v>0</v>
      </c>
      <c r="AD12" s="59">
        <f t="shared" si="3"/>
        <v>0</v>
      </c>
      <c r="AE12" s="59">
        <f t="shared" si="4"/>
        <v>38022.95578947368</v>
      </c>
      <c r="AF12" s="59">
        <f t="shared" si="5"/>
        <v>0</v>
      </c>
      <c r="AG12" s="59">
        <f t="shared" si="6"/>
        <v>3059.7</v>
      </c>
      <c r="AH12" s="59">
        <f t="shared" si="7"/>
        <v>3124.7999999999993</v>
      </c>
      <c r="AI12" s="59">
        <f t="shared" si="8"/>
        <v>4101.300000000003</v>
      </c>
      <c r="AJ12" s="59">
        <f t="shared" si="9"/>
        <v>1041.5999999999997</v>
      </c>
      <c r="AK12" s="59">
        <f t="shared" si="10"/>
        <v>976.5000000000003</v>
      </c>
      <c r="AL12" s="59">
        <f t="shared" si="11"/>
        <v>0</v>
      </c>
      <c r="AM12" s="59">
        <f t="shared" si="12"/>
        <v>0</v>
      </c>
      <c r="AN12" s="59">
        <f t="shared" si="13"/>
        <v>0</v>
      </c>
      <c r="AO12" s="59">
        <f t="shared" si="14"/>
        <v>0</v>
      </c>
      <c r="AP12" s="59">
        <f t="shared" si="15"/>
        <v>0</v>
      </c>
      <c r="AQ12" s="59">
        <f t="shared" si="16"/>
        <v>0</v>
      </c>
      <c r="AR12" s="256">
        <f t="shared" si="17"/>
        <v>0</v>
      </c>
      <c r="AS12" s="245">
        <f t="shared" si="18"/>
        <v>38094.434701986764</v>
      </c>
      <c r="AT12" s="254">
        <f t="shared" si="19"/>
        <v>0</v>
      </c>
      <c r="AU12" s="236">
        <f t="shared" si="20"/>
        <v>89450.51239751499</v>
      </c>
      <c r="AV12" s="59">
        <f t="shared" si="21"/>
        <v>0</v>
      </c>
      <c r="AW12" s="59">
        <f t="shared" si="22"/>
        <v>0</v>
      </c>
      <c r="AX12" s="59">
        <f t="shared" si="23"/>
        <v>0</v>
      </c>
      <c r="AY12" s="256">
        <v>140000</v>
      </c>
      <c r="AZ12" s="258">
        <v>77000</v>
      </c>
      <c r="BA12" s="258">
        <v>15989.429999999993</v>
      </c>
      <c r="BB12" s="236"/>
      <c r="BC12" s="59"/>
      <c r="BD12" s="60">
        <v>0</v>
      </c>
      <c r="BE12" s="58">
        <f t="shared" si="24"/>
        <v>1727562.0998993518</v>
      </c>
      <c r="BF12" s="59">
        <f t="shared" si="25"/>
        <v>177871.80288897542</v>
      </c>
      <c r="BG12" s="59">
        <f t="shared" si="26"/>
        <v>232989.43</v>
      </c>
      <c r="BH12" s="60">
        <f t="shared" si="27"/>
        <v>89450.51239751499</v>
      </c>
      <c r="BI12" s="34">
        <f t="shared" si="28"/>
        <v>2138423.3327883272</v>
      </c>
      <c r="BJ12" s="59">
        <f t="shared" si="29"/>
        <v>2138423.3327883272</v>
      </c>
      <c r="BK12" s="60">
        <f t="shared" si="30"/>
        <v>0</v>
      </c>
      <c r="BL12" s="58">
        <f t="shared" si="31"/>
        <v>1905433.902788327</v>
      </c>
      <c r="BM12" s="59">
        <v>3509.086367850971</v>
      </c>
      <c r="BN12" s="59">
        <v>3398.6466346153848</v>
      </c>
      <c r="BO12" s="33">
        <f t="shared" si="32"/>
        <v>0.032495209154947725</v>
      </c>
      <c r="BP12" s="204">
        <f t="shared" si="33"/>
        <v>0</v>
      </c>
      <c r="BQ12" s="60">
        <f t="shared" si="34"/>
        <v>0</v>
      </c>
      <c r="BR12" s="205">
        <f t="shared" si="35"/>
        <v>2138423.3327883272</v>
      </c>
      <c r="BS12" s="91">
        <f t="shared" si="36"/>
        <v>0</v>
      </c>
      <c r="BT12" s="91">
        <f t="shared" si="37"/>
        <v>662.46</v>
      </c>
      <c r="BU12" s="97">
        <f t="shared" si="38"/>
        <v>2137760.8727883273</v>
      </c>
      <c r="BV12" s="10"/>
      <c r="BW12" s="116">
        <f>VLOOKUP(A12,'EYSFF Universal Hrs'!$A$159:$W$216,23,0)</f>
        <v>144936.63847545683</v>
      </c>
      <c r="BX12" s="385">
        <f>VLOOKUP(A12,'EYSFF Extended Hrs'!$A$115:$W$172,11,0)</f>
        <v>40720.11098441831</v>
      </c>
      <c r="BY12" s="23">
        <v>63160</v>
      </c>
      <c r="BZ12" s="23"/>
      <c r="CA12" s="199">
        <f>VLOOKUP(A12,'Top Up SEN'!A:E,5,0)</f>
        <v>60351</v>
      </c>
      <c r="CB12" s="199">
        <f>VLOOKUP(A12,'2% threshold'!A:H,8,0)</f>
        <v>0</v>
      </c>
      <c r="CC12" s="212"/>
      <c r="CD12" s="433">
        <f>VLOOKUP(A12,'[4]Pupil Premuim'!$B:$G,6,0)</f>
        <v>47520</v>
      </c>
      <c r="CE12" s="433">
        <f>VLOOKUP(A12,'[4]Pupil Premuim'!$K:$P,6,0)</f>
        <v>11400</v>
      </c>
      <c r="CF12" s="433">
        <v>0</v>
      </c>
      <c r="CG12" s="433">
        <f>VLOOKUP(A12,'[4]PE+Sports'!$B$5:$P$54,15,0)</f>
        <v>20530</v>
      </c>
      <c r="CH12" s="433">
        <f>VLOOKUP(A12,'[4]UIFSM'!$B$5:$K$43,10,0)</f>
        <v>96140</v>
      </c>
      <c r="CI12" s="433"/>
      <c r="CJ12" s="433"/>
      <c r="CK12" s="433"/>
    </row>
    <row r="13" spans="1:89" ht="15">
      <c r="A13" s="37">
        <v>2023</v>
      </c>
      <c r="B13" s="10" t="s">
        <v>14</v>
      </c>
      <c r="C13" s="251">
        <v>283</v>
      </c>
      <c r="D13" s="254">
        <v>283</v>
      </c>
      <c r="E13" s="254">
        <v>0</v>
      </c>
      <c r="F13" s="254">
        <v>0</v>
      </c>
      <c r="G13" s="238">
        <v>0</v>
      </c>
      <c r="H13" s="254">
        <v>65.9695945945946</v>
      </c>
      <c r="I13" s="238">
        <v>0</v>
      </c>
      <c r="J13" s="254">
        <v>125.00000000000001</v>
      </c>
      <c r="K13" s="238">
        <v>51.000000000000114</v>
      </c>
      <c r="L13" s="254">
        <v>1</v>
      </c>
      <c r="M13" s="238">
        <v>0</v>
      </c>
      <c r="N13" s="254">
        <v>0</v>
      </c>
      <c r="O13" s="238">
        <v>0</v>
      </c>
      <c r="P13" s="254">
        <v>0</v>
      </c>
      <c r="Q13" s="238">
        <v>0</v>
      </c>
      <c r="R13" s="254">
        <v>0</v>
      </c>
      <c r="S13" s="254">
        <v>0</v>
      </c>
      <c r="T13" s="238">
        <v>0</v>
      </c>
      <c r="U13" s="254">
        <v>0</v>
      </c>
      <c r="V13" s="238">
        <v>12.999999999999996</v>
      </c>
      <c r="W13" s="254">
        <v>0</v>
      </c>
      <c r="X13" s="248">
        <v>50.55156563097173</v>
      </c>
      <c r="Y13" s="248">
        <v>0</v>
      </c>
      <c r="Z13" s="248">
        <v>0</v>
      </c>
      <c r="AA13" s="241">
        <v>0</v>
      </c>
      <c r="AB13" s="58">
        <f t="shared" si="1"/>
        <v>900368.4609051871</v>
      </c>
      <c r="AC13" s="59">
        <f t="shared" si="2"/>
        <v>0</v>
      </c>
      <c r="AD13" s="59">
        <f t="shared" si="3"/>
        <v>0</v>
      </c>
      <c r="AE13" s="59">
        <f t="shared" si="4"/>
        <v>65827.10027027027</v>
      </c>
      <c r="AF13" s="59">
        <f t="shared" si="5"/>
        <v>0</v>
      </c>
      <c r="AG13" s="59">
        <f t="shared" si="6"/>
        <v>8137.5</v>
      </c>
      <c r="AH13" s="59">
        <f t="shared" si="7"/>
        <v>6640.200000000014</v>
      </c>
      <c r="AI13" s="59">
        <f t="shared" si="8"/>
        <v>195.3</v>
      </c>
      <c r="AJ13" s="59">
        <f t="shared" si="9"/>
        <v>0</v>
      </c>
      <c r="AK13" s="59">
        <f t="shared" si="10"/>
        <v>0</v>
      </c>
      <c r="AL13" s="59">
        <f t="shared" si="11"/>
        <v>0</v>
      </c>
      <c r="AM13" s="59">
        <f t="shared" si="12"/>
        <v>0</v>
      </c>
      <c r="AN13" s="59">
        <f t="shared" si="13"/>
        <v>0</v>
      </c>
      <c r="AO13" s="59">
        <f t="shared" si="14"/>
        <v>0</v>
      </c>
      <c r="AP13" s="59">
        <f t="shared" si="15"/>
        <v>0</v>
      </c>
      <c r="AQ13" s="59">
        <f t="shared" si="16"/>
        <v>0</v>
      </c>
      <c r="AR13" s="256">
        <f t="shared" si="17"/>
        <v>0</v>
      </c>
      <c r="AS13" s="245">
        <f t="shared" si="18"/>
        <v>9608.039999999997</v>
      </c>
      <c r="AT13" s="254">
        <f t="shared" si="19"/>
        <v>0</v>
      </c>
      <c r="AU13" s="236">
        <f t="shared" si="20"/>
        <v>55606.722194068905</v>
      </c>
      <c r="AV13" s="59">
        <f t="shared" si="21"/>
        <v>0</v>
      </c>
      <c r="AW13" s="59">
        <f t="shared" si="22"/>
        <v>0</v>
      </c>
      <c r="AX13" s="59">
        <f t="shared" si="23"/>
        <v>0</v>
      </c>
      <c r="AY13" s="256">
        <v>140000</v>
      </c>
      <c r="AZ13" s="258">
        <v>46250</v>
      </c>
      <c r="BA13" s="258">
        <v>6050.370000000003</v>
      </c>
      <c r="BB13" s="236"/>
      <c r="BC13" s="59"/>
      <c r="BD13" s="60">
        <v>0</v>
      </c>
      <c r="BE13" s="58">
        <f t="shared" si="24"/>
        <v>900368.4609051871</v>
      </c>
      <c r="BF13" s="59">
        <f t="shared" si="25"/>
        <v>146014.86246433918</v>
      </c>
      <c r="BG13" s="59">
        <f t="shared" si="26"/>
        <v>192300.37</v>
      </c>
      <c r="BH13" s="60">
        <f t="shared" si="27"/>
        <v>55606.722194068905</v>
      </c>
      <c r="BI13" s="34">
        <f t="shared" si="28"/>
        <v>1238683.6933695264</v>
      </c>
      <c r="BJ13" s="59">
        <f t="shared" si="29"/>
        <v>1238683.6933695264</v>
      </c>
      <c r="BK13" s="60">
        <f t="shared" si="30"/>
        <v>0</v>
      </c>
      <c r="BL13" s="58">
        <f t="shared" si="31"/>
        <v>1046383.3233695263</v>
      </c>
      <c r="BM13" s="59">
        <v>3697.4675737439097</v>
      </c>
      <c r="BN13" s="59">
        <v>3594.587696296296</v>
      </c>
      <c r="BO13" s="33">
        <f t="shared" si="32"/>
        <v>0.028620772711600958</v>
      </c>
      <c r="BP13" s="204">
        <f t="shared" si="33"/>
        <v>0</v>
      </c>
      <c r="BQ13" s="60">
        <f t="shared" si="34"/>
        <v>0</v>
      </c>
      <c r="BR13" s="205">
        <f t="shared" si="35"/>
        <v>1238683.6933695264</v>
      </c>
      <c r="BS13" s="91">
        <f t="shared" si="36"/>
        <v>0</v>
      </c>
      <c r="BT13" s="91">
        <f t="shared" si="37"/>
        <v>345.26</v>
      </c>
      <c r="BU13" s="97">
        <f t="shared" si="38"/>
        <v>1238338.4333695264</v>
      </c>
      <c r="BV13" s="10"/>
      <c r="BW13" s="116"/>
      <c r="BX13" s="385"/>
      <c r="BY13" s="23"/>
      <c r="BZ13" s="23"/>
      <c r="CA13" s="199">
        <f>VLOOKUP(A13,'Top Up SEN'!A:E,5,0)</f>
        <v>47092</v>
      </c>
      <c r="CB13" s="199">
        <f>VLOOKUP(A13,'2% threshold'!A:H,8,0)</f>
        <v>24000</v>
      </c>
      <c r="CC13" s="212"/>
      <c r="CD13" s="433">
        <f>VLOOKUP(A13,'[4]Pupil Premuim'!$B:$G,6,0)</f>
        <v>91080</v>
      </c>
      <c r="CE13" s="433">
        <f>VLOOKUP(A13,'[4]Pupil Premuim'!$K:$P,6,0)</f>
        <v>900</v>
      </c>
      <c r="CF13" s="433">
        <f>VLOOKUP(A13,'[4]Pupil Premuim'!$T:$Z,7,0)</f>
        <v>9200</v>
      </c>
      <c r="CG13" s="433">
        <f>VLOOKUP(A13,'[4]PE+Sports'!$B$5:$P$54,15,0)</f>
        <v>18830</v>
      </c>
      <c r="CH13" s="433"/>
      <c r="CI13" s="433"/>
      <c r="CJ13" s="433"/>
      <c r="CK13" s="433"/>
    </row>
    <row r="14" spans="1:89" ht="15">
      <c r="A14" s="37">
        <v>2024</v>
      </c>
      <c r="B14" s="115" t="s">
        <v>87</v>
      </c>
      <c r="C14" s="251">
        <v>226</v>
      </c>
      <c r="D14" s="254">
        <v>226</v>
      </c>
      <c r="E14" s="254">
        <v>0</v>
      </c>
      <c r="F14" s="254">
        <v>0</v>
      </c>
      <c r="G14" s="238">
        <v>0</v>
      </c>
      <c r="H14" s="254">
        <v>40.00000000000003</v>
      </c>
      <c r="I14" s="238">
        <v>0</v>
      </c>
      <c r="J14" s="254">
        <v>101.00000000000009</v>
      </c>
      <c r="K14" s="238">
        <v>42.00000000000005</v>
      </c>
      <c r="L14" s="254">
        <v>1.0000000000000007</v>
      </c>
      <c r="M14" s="238">
        <v>0</v>
      </c>
      <c r="N14" s="254">
        <v>0</v>
      </c>
      <c r="O14" s="238">
        <v>0</v>
      </c>
      <c r="P14" s="254">
        <v>0</v>
      </c>
      <c r="Q14" s="238">
        <v>0</v>
      </c>
      <c r="R14" s="254">
        <v>0</v>
      </c>
      <c r="S14" s="254">
        <v>0</v>
      </c>
      <c r="T14" s="238">
        <v>0</v>
      </c>
      <c r="U14" s="254">
        <v>0</v>
      </c>
      <c r="V14" s="238">
        <v>44.62420382165604</v>
      </c>
      <c r="W14" s="254">
        <v>0</v>
      </c>
      <c r="X14" s="248">
        <v>30.011341935483834</v>
      </c>
      <c r="Y14" s="248">
        <v>0</v>
      </c>
      <c r="Z14" s="248">
        <v>0</v>
      </c>
      <c r="AA14" s="241">
        <v>0</v>
      </c>
      <c r="AB14" s="58">
        <f t="shared" si="1"/>
        <v>719022.163125697</v>
      </c>
      <c r="AC14" s="59">
        <f t="shared" si="2"/>
        <v>0</v>
      </c>
      <c r="AD14" s="59">
        <f t="shared" si="3"/>
        <v>0</v>
      </c>
      <c r="AE14" s="59">
        <f t="shared" si="4"/>
        <v>39913.60000000003</v>
      </c>
      <c r="AF14" s="59">
        <f t="shared" si="5"/>
        <v>0</v>
      </c>
      <c r="AG14" s="59">
        <f t="shared" si="6"/>
        <v>6575.100000000005</v>
      </c>
      <c r="AH14" s="59">
        <f t="shared" si="7"/>
        <v>5468.400000000006</v>
      </c>
      <c r="AI14" s="59">
        <f t="shared" si="8"/>
        <v>195.30000000000015</v>
      </c>
      <c r="AJ14" s="59">
        <f t="shared" si="9"/>
        <v>0</v>
      </c>
      <c r="AK14" s="59">
        <f t="shared" si="10"/>
        <v>0</v>
      </c>
      <c r="AL14" s="59">
        <f t="shared" si="11"/>
        <v>0</v>
      </c>
      <c r="AM14" s="59">
        <f t="shared" si="12"/>
        <v>0</v>
      </c>
      <c r="AN14" s="59">
        <f t="shared" si="13"/>
        <v>0</v>
      </c>
      <c r="AO14" s="59">
        <f t="shared" si="14"/>
        <v>0</v>
      </c>
      <c r="AP14" s="59">
        <f t="shared" si="15"/>
        <v>0</v>
      </c>
      <c r="AQ14" s="59">
        <f t="shared" si="16"/>
        <v>0</v>
      </c>
      <c r="AR14" s="256">
        <f t="shared" si="17"/>
        <v>0</v>
      </c>
      <c r="AS14" s="245">
        <f t="shared" si="18"/>
        <v>32980.85656050955</v>
      </c>
      <c r="AT14" s="254">
        <f t="shared" si="19"/>
        <v>0</v>
      </c>
      <c r="AU14" s="236">
        <f t="shared" si="20"/>
        <v>33012.47612903222</v>
      </c>
      <c r="AV14" s="59">
        <f t="shared" si="21"/>
        <v>0</v>
      </c>
      <c r="AW14" s="59">
        <f t="shared" si="22"/>
        <v>0</v>
      </c>
      <c r="AX14" s="59">
        <f t="shared" si="23"/>
        <v>0</v>
      </c>
      <c r="AY14" s="256">
        <v>140000</v>
      </c>
      <c r="AZ14" s="258">
        <v>22200</v>
      </c>
      <c r="BA14" s="258">
        <v>235.76</v>
      </c>
      <c r="BB14" s="236"/>
      <c r="BC14" s="59"/>
      <c r="BD14" s="60">
        <v>0</v>
      </c>
      <c r="BE14" s="58">
        <f t="shared" si="24"/>
        <v>719022.163125697</v>
      </c>
      <c r="BF14" s="59">
        <f t="shared" si="25"/>
        <v>118145.73268954181</v>
      </c>
      <c r="BG14" s="59">
        <f t="shared" si="26"/>
        <v>162435.76</v>
      </c>
      <c r="BH14" s="60">
        <f t="shared" si="27"/>
        <v>33012.47612903222</v>
      </c>
      <c r="BI14" s="34">
        <f t="shared" si="28"/>
        <v>999603.6558152388</v>
      </c>
      <c r="BJ14" s="59">
        <f t="shared" si="29"/>
        <v>999603.6558152388</v>
      </c>
      <c r="BK14" s="60">
        <f t="shared" si="30"/>
        <v>0</v>
      </c>
      <c r="BL14" s="58">
        <f t="shared" si="31"/>
        <v>837167.8958152388</v>
      </c>
      <c r="BM14" s="59">
        <v>3704.2827248461895</v>
      </c>
      <c r="BN14" s="59">
        <v>3593.5238170403586</v>
      </c>
      <c r="BO14" s="33">
        <f t="shared" si="32"/>
        <v>0.03082180985711467</v>
      </c>
      <c r="BP14" s="204">
        <f t="shared" si="33"/>
        <v>0</v>
      </c>
      <c r="BQ14" s="60">
        <f t="shared" si="34"/>
        <v>0</v>
      </c>
      <c r="BR14" s="205">
        <f t="shared" si="35"/>
        <v>999603.6558152388</v>
      </c>
      <c r="BS14" s="91">
        <f t="shared" si="36"/>
        <v>0</v>
      </c>
      <c r="BT14" s="91">
        <f t="shared" si="37"/>
        <v>275.71999999999997</v>
      </c>
      <c r="BU14" s="97">
        <f t="shared" si="38"/>
        <v>999327.9358152389</v>
      </c>
      <c r="BV14" s="10"/>
      <c r="BW14" s="116">
        <f>VLOOKUP(A14,'EYSFF Universal Hrs'!$A$159:$W$216,23,0)</f>
        <v>142214.6518001436</v>
      </c>
      <c r="BX14" s="385">
        <f>VLOOKUP(A14,'EYSFF Extended Hrs'!$A$115:$W$172,11,0)</f>
        <v>40891.636722589756</v>
      </c>
      <c r="BY14" s="23"/>
      <c r="BZ14" s="23"/>
      <c r="CA14" s="199">
        <f>VLOOKUP(A14,'Top Up SEN'!A:E,5,0)</f>
        <v>10267</v>
      </c>
      <c r="CB14" s="199">
        <f>VLOOKUP(A14,'2% threshold'!A:H,8,0)</f>
        <v>0</v>
      </c>
      <c r="CC14" s="212"/>
      <c r="CD14" s="433">
        <f>VLOOKUP(A14,'[4]Pupil Premuim'!$B:$G,6,0)</f>
        <v>47520</v>
      </c>
      <c r="CE14" s="433">
        <f>VLOOKUP(A14,'[4]Pupil Premuim'!$K:$P,6,0)</f>
        <v>300</v>
      </c>
      <c r="CF14" s="433">
        <f>VLOOKUP(A14,'[4]Pupil Premuim'!$T:$Z,7,0)</f>
        <v>2300</v>
      </c>
      <c r="CG14" s="433">
        <f>VLOOKUP(A14,'[4]PE+Sports'!$B$5:$P$54,15,0)</f>
        <v>17580</v>
      </c>
      <c r="CH14" s="433">
        <f>VLOOKUP(A14,'[4]UIFSM'!$B$5:$K$43,10,0)</f>
        <v>75601</v>
      </c>
      <c r="CI14" s="433"/>
      <c r="CJ14" s="433"/>
      <c r="CK14" s="433"/>
    </row>
    <row r="15" spans="1:89" ht="15">
      <c r="A15" s="37">
        <v>2025</v>
      </c>
      <c r="B15" s="115" t="s">
        <v>88</v>
      </c>
      <c r="C15" s="251">
        <v>504</v>
      </c>
      <c r="D15" s="254">
        <v>504</v>
      </c>
      <c r="E15" s="254">
        <v>0</v>
      </c>
      <c r="F15" s="254">
        <v>0</v>
      </c>
      <c r="G15" s="238">
        <v>0</v>
      </c>
      <c r="H15" s="254">
        <v>68.81927710843374</v>
      </c>
      <c r="I15" s="238">
        <v>0</v>
      </c>
      <c r="J15" s="254">
        <v>21.000000000000018</v>
      </c>
      <c r="K15" s="238">
        <v>76.00000000000011</v>
      </c>
      <c r="L15" s="254">
        <v>2.000000000000001</v>
      </c>
      <c r="M15" s="238">
        <v>0.999999999999998</v>
      </c>
      <c r="N15" s="254">
        <v>2.000000000000001</v>
      </c>
      <c r="O15" s="238">
        <v>0</v>
      </c>
      <c r="P15" s="254">
        <v>0</v>
      </c>
      <c r="Q15" s="238">
        <v>0</v>
      </c>
      <c r="R15" s="254">
        <v>0</v>
      </c>
      <c r="S15" s="254">
        <v>0</v>
      </c>
      <c r="T15" s="238">
        <v>0</v>
      </c>
      <c r="U15" s="254">
        <v>0</v>
      </c>
      <c r="V15" s="238">
        <v>118.125</v>
      </c>
      <c r="W15" s="254">
        <v>0</v>
      </c>
      <c r="X15" s="248">
        <v>84.97720732703063</v>
      </c>
      <c r="Y15" s="248">
        <v>0</v>
      </c>
      <c r="Z15" s="248">
        <v>20.600000000000065</v>
      </c>
      <c r="AA15" s="241">
        <v>0</v>
      </c>
      <c r="AB15" s="58">
        <f t="shared" si="1"/>
        <v>1603483.0540502272</v>
      </c>
      <c r="AC15" s="59">
        <f t="shared" si="2"/>
        <v>0</v>
      </c>
      <c r="AD15" s="59">
        <f t="shared" si="3"/>
        <v>0</v>
      </c>
      <c r="AE15" s="59">
        <f t="shared" si="4"/>
        <v>68670.62746987952</v>
      </c>
      <c r="AF15" s="59">
        <f t="shared" si="5"/>
        <v>0</v>
      </c>
      <c r="AG15" s="59">
        <f t="shared" si="6"/>
        <v>1367.100000000001</v>
      </c>
      <c r="AH15" s="59">
        <f t="shared" si="7"/>
        <v>9895.200000000013</v>
      </c>
      <c r="AI15" s="59">
        <f t="shared" si="8"/>
        <v>390.6000000000002</v>
      </c>
      <c r="AJ15" s="59">
        <f t="shared" si="9"/>
        <v>260.39999999999947</v>
      </c>
      <c r="AK15" s="59">
        <f t="shared" si="10"/>
        <v>651.0000000000003</v>
      </c>
      <c r="AL15" s="59">
        <f t="shared" si="11"/>
        <v>0</v>
      </c>
      <c r="AM15" s="59">
        <f t="shared" si="12"/>
        <v>0</v>
      </c>
      <c r="AN15" s="59">
        <f t="shared" si="13"/>
        <v>0</v>
      </c>
      <c r="AO15" s="59">
        <f t="shared" si="14"/>
        <v>0</v>
      </c>
      <c r="AP15" s="59">
        <f t="shared" si="15"/>
        <v>0</v>
      </c>
      <c r="AQ15" s="59">
        <f t="shared" si="16"/>
        <v>0</v>
      </c>
      <c r="AR15" s="256">
        <f t="shared" si="17"/>
        <v>0</v>
      </c>
      <c r="AS15" s="245">
        <f t="shared" si="18"/>
        <v>87303.82500000001</v>
      </c>
      <c r="AT15" s="254">
        <f t="shared" si="19"/>
        <v>0</v>
      </c>
      <c r="AU15" s="236">
        <f t="shared" si="20"/>
        <v>93474.92805973369</v>
      </c>
      <c r="AV15" s="59">
        <f t="shared" si="21"/>
        <v>0</v>
      </c>
      <c r="AW15" s="59">
        <f t="shared" si="22"/>
        <v>16480.00000000005</v>
      </c>
      <c r="AX15" s="59">
        <f t="shared" si="23"/>
        <v>0</v>
      </c>
      <c r="AY15" s="256">
        <v>140000</v>
      </c>
      <c r="AZ15" s="258">
        <v>63500</v>
      </c>
      <c r="BA15" s="258">
        <v>445.91999999999825</v>
      </c>
      <c r="BB15" s="236"/>
      <c r="BC15" s="59"/>
      <c r="BD15" s="60">
        <v>0</v>
      </c>
      <c r="BE15" s="58">
        <f t="shared" si="24"/>
        <v>1603483.0540502272</v>
      </c>
      <c r="BF15" s="59">
        <f t="shared" si="25"/>
        <v>278493.6805296133</v>
      </c>
      <c r="BG15" s="59">
        <f t="shared" si="26"/>
        <v>203945.91999999998</v>
      </c>
      <c r="BH15" s="60">
        <f t="shared" si="27"/>
        <v>93474.92805973369</v>
      </c>
      <c r="BI15" s="34">
        <f t="shared" si="28"/>
        <v>2085922.6545798404</v>
      </c>
      <c r="BJ15" s="59">
        <f t="shared" si="29"/>
        <v>2085922.6545798404</v>
      </c>
      <c r="BK15" s="60">
        <f t="shared" si="30"/>
        <v>0</v>
      </c>
      <c r="BL15" s="58">
        <f t="shared" si="31"/>
        <v>1881976.7345798404</v>
      </c>
      <c r="BM15" s="59">
        <v>3734.0808180582153</v>
      </c>
      <c r="BN15" s="59">
        <v>3652.0691169014085</v>
      </c>
      <c r="BO15" s="33">
        <f t="shared" si="32"/>
        <v>0.022456229203676594</v>
      </c>
      <c r="BP15" s="204">
        <f t="shared" si="33"/>
        <v>0</v>
      </c>
      <c r="BQ15" s="60">
        <f t="shared" si="34"/>
        <v>0</v>
      </c>
      <c r="BR15" s="205">
        <f t="shared" si="35"/>
        <v>2085922.6545798404</v>
      </c>
      <c r="BS15" s="91">
        <f t="shared" si="36"/>
        <v>0</v>
      </c>
      <c r="BT15" s="91">
        <f t="shared" si="37"/>
        <v>614.88</v>
      </c>
      <c r="BU15" s="97">
        <f t="shared" si="38"/>
        <v>2085307.7745798405</v>
      </c>
      <c r="BV15" s="10"/>
      <c r="BW15" s="116">
        <f>VLOOKUP(A15,'EYSFF Universal Hrs'!$A$159:$W$216,23,0)</f>
        <v>129426.7976713559</v>
      </c>
      <c r="BX15" s="385">
        <f>VLOOKUP(A15,'EYSFF Extended Hrs'!$A$115:$W$172,11,0)</f>
        <v>0</v>
      </c>
      <c r="BY15" s="23"/>
      <c r="BZ15" s="23"/>
      <c r="CA15" s="199">
        <f>VLOOKUP(A15,'Top Up SEN'!A:E,5,0)</f>
        <v>44409</v>
      </c>
      <c r="CB15" s="199">
        <f>VLOOKUP(A15,'2% threshold'!A:H,8,0)</f>
        <v>0</v>
      </c>
      <c r="CC15" s="212"/>
      <c r="CD15" s="433">
        <f>VLOOKUP(A15,'[4]Pupil Premuim'!$B:$G,6,0)</f>
        <v>88440</v>
      </c>
      <c r="CE15" s="433">
        <f>VLOOKUP(A15,'[4]Pupil Premuim'!$K:$P,6,0)</f>
        <v>3600</v>
      </c>
      <c r="CF15" s="433">
        <f>VLOOKUP(A15,'[4]Pupil Premuim'!$T:$Z,7,0)</f>
        <v>4600</v>
      </c>
      <c r="CG15" s="433">
        <f>VLOOKUP(A15,'[4]PE+Sports'!$B$5:$P$54,15,0)</f>
        <v>20480</v>
      </c>
      <c r="CH15" s="433">
        <f>VLOOKUP(A15,'[4]UIFSM'!$B$5:$K$43,10,0)</f>
        <v>73853</v>
      </c>
      <c r="CI15" s="433"/>
      <c r="CJ15" s="433"/>
      <c r="CK15" s="433"/>
    </row>
    <row r="16" spans="1:89" ht="15">
      <c r="A16" s="37">
        <v>2026</v>
      </c>
      <c r="B16" s="115" t="s">
        <v>89</v>
      </c>
      <c r="C16" s="251">
        <v>202</v>
      </c>
      <c r="D16" s="254">
        <v>202</v>
      </c>
      <c r="E16" s="254">
        <v>0</v>
      </c>
      <c r="F16" s="254">
        <v>0</v>
      </c>
      <c r="G16" s="238">
        <v>0</v>
      </c>
      <c r="H16" s="254">
        <v>41</v>
      </c>
      <c r="I16" s="238">
        <v>0</v>
      </c>
      <c r="J16" s="254">
        <v>11.000000000000009</v>
      </c>
      <c r="K16" s="238">
        <v>92.99999999999991</v>
      </c>
      <c r="L16" s="254">
        <v>3.9999999999999996</v>
      </c>
      <c r="M16" s="238">
        <v>33.999999999999936</v>
      </c>
      <c r="N16" s="254">
        <v>7.000000000000009</v>
      </c>
      <c r="O16" s="238">
        <v>0</v>
      </c>
      <c r="P16" s="254">
        <v>0</v>
      </c>
      <c r="Q16" s="238">
        <v>0</v>
      </c>
      <c r="R16" s="254">
        <v>0</v>
      </c>
      <c r="S16" s="254">
        <v>0</v>
      </c>
      <c r="T16" s="238">
        <v>0</v>
      </c>
      <c r="U16" s="254">
        <v>0</v>
      </c>
      <c r="V16" s="238">
        <v>45.275862068965566</v>
      </c>
      <c r="W16" s="254">
        <v>0</v>
      </c>
      <c r="X16" s="248">
        <v>24.00452454361053</v>
      </c>
      <c r="Y16" s="248">
        <v>0</v>
      </c>
      <c r="Z16" s="248">
        <v>0</v>
      </c>
      <c r="AA16" s="241">
        <v>0</v>
      </c>
      <c r="AB16" s="58">
        <f t="shared" si="1"/>
        <v>642665.8272185434</v>
      </c>
      <c r="AC16" s="59">
        <f t="shared" si="2"/>
        <v>0</v>
      </c>
      <c r="AD16" s="59">
        <f t="shared" si="3"/>
        <v>0</v>
      </c>
      <c r="AE16" s="59">
        <f t="shared" si="4"/>
        <v>40911.44</v>
      </c>
      <c r="AF16" s="59">
        <f t="shared" si="5"/>
        <v>0</v>
      </c>
      <c r="AG16" s="59">
        <f t="shared" si="6"/>
        <v>716.1000000000005</v>
      </c>
      <c r="AH16" s="59">
        <f t="shared" si="7"/>
        <v>12108.599999999988</v>
      </c>
      <c r="AI16" s="59">
        <f t="shared" si="8"/>
        <v>781.1999999999999</v>
      </c>
      <c r="AJ16" s="59">
        <f t="shared" si="9"/>
        <v>8853.599999999982</v>
      </c>
      <c r="AK16" s="59">
        <f t="shared" si="10"/>
        <v>2278.5000000000027</v>
      </c>
      <c r="AL16" s="59">
        <f t="shared" si="11"/>
        <v>0</v>
      </c>
      <c r="AM16" s="59">
        <f t="shared" si="12"/>
        <v>0</v>
      </c>
      <c r="AN16" s="59">
        <f t="shared" si="13"/>
        <v>0</v>
      </c>
      <c r="AO16" s="59">
        <f t="shared" si="14"/>
        <v>0</v>
      </c>
      <c r="AP16" s="59">
        <f t="shared" si="15"/>
        <v>0</v>
      </c>
      <c r="AQ16" s="59">
        <f t="shared" si="16"/>
        <v>0</v>
      </c>
      <c r="AR16" s="256">
        <f t="shared" si="17"/>
        <v>0</v>
      </c>
      <c r="AS16" s="245">
        <f t="shared" si="18"/>
        <v>33462.484137931075</v>
      </c>
      <c r="AT16" s="254">
        <f t="shared" si="19"/>
        <v>0</v>
      </c>
      <c r="AU16" s="236">
        <f t="shared" si="20"/>
        <v>26404.976997971582</v>
      </c>
      <c r="AV16" s="59">
        <f t="shared" si="21"/>
        <v>0</v>
      </c>
      <c r="AW16" s="59">
        <f t="shared" si="22"/>
        <v>0</v>
      </c>
      <c r="AX16" s="59">
        <f t="shared" si="23"/>
        <v>0</v>
      </c>
      <c r="AY16" s="256">
        <v>140000</v>
      </c>
      <c r="AZ16" s="258">
        <v>16320</v>
      </c>
      <c r="BA16" s="258">
        <v>614.7700000000004</v>
      </c>
      <c r="BB16" s="236"/>
      <c r="BC16" s="59"/>
      <c r="BD16" s="60">
        <v>0</v>
      </c>
      <c r="BE16" s="58">
        <f t="shared" si="24"/>
        <v>642665.8272185434</v>
      </c>
      <c r="BF16" s="59">
        <f t="shared" si="25"/>
        <v>125516.90113590263</v>
      </c>
      <c r="BG16" s="59">
        <f t="shared" si="26"/>
        <v>156934.77</v>
      </c>
      <c r="BH16" s="60">
        <f t="shared" si="27"/>
        <v>26404.976997971582</v>
      </c>
      <c r="BI16" s="34">
        <f t="shared" si="28"/>
        <v>925117.498354446</v>
      </c>
      <c r="BJ16" s="59">
        <f t="shared" si="29"/>
        <v>925117.498354446</v>
      </c>
      <c r="BK16" s="60">
        <f t="shared" si="30"/>
        <v>0</v>
      </c>
      <c r="BL16" s="58">
        <f t="shared" si="31"/>
        <v>768182.728354446</v>
      </c>
      <c r="BM16" s="59">
        <v>3802.8846560603765</v>
      </c>
      <c r="BN16" s="59">
        <v>3673.3555565</v>
      </c>
      <c r="BO16" s="33">
        <f t="shared" si="32"/>
        <v>0.03526179199592447</v>
      </c>
      <c r="BP16" s="204">
        <f t="shared" si="33"/>
        <v>0</v>
      </c>
      <c r="BQ16" s="60">
        <f t="shared" si="34"/>
        <v>0</v>
      </c>
      <c r="BR16" s="205">
        <f t="shared" si="35"/>
        <v>925117.498354446</v>
      </c>
      <c r="BS16" s="91">
        <f t="shared" si="36"/>
        <v>0</v>
      </c>
      <c r="BT16" s="91">
        <f t="shared" si="37"/>
        <v>246.44</v>
      </c>
      <c r="BU16" s="97">
        <f t="shared" si="38"/>
        <v>924871.0583544461</v>
      </c>
      <c r="BV16" s="10"/>
      <c r="BW16" s="116">
        <f>VLOOKUP(A16,'EYSFF Universal Hrs'!$A$159:$W$216,23,0)</f>
        <v>73853.60751586432</v>
      </c>
      <c r="BX16" s="385">
        <f>VLOOKUP(A16,'EYSFF Extended Hrs'!$A$115:$W$172,11,0)</f>
        <v>0</v>
      </c>
      <c r="BY16" s="23"/>
      <c r="BZ16" s="23"/>
      <c r="CA16" s="199">
        <f>VLOOKUP(A16,'Top Up SEN'!A:E,5,0)</f>
        <v>32667</v>
      </c>
      <c r="CB16" s="199">
        <f>VLOOKUP(A16,'2% threshold'!A:H,8,0)</f>
        <v>0</v>
      </c>
      <c r="CC16" s="212"/>
      <c r="CD16" s="433">
        <f>VLOOKUP(A16,'[4]Pupil Premuim'!$B:$G,6,0)</f>
        <v>52800</v>
      </c>
      <c r="CE16" s="433">
        <f>VLOOKUP(A16,'[4]Pupil Premuim'!$K:$P,6,0)</f>
        <v>0</v>
      </c>
      <c r="CF16" s="433">
        <v>0</v>
      </c>
      <c r="CG16" s="433">
        <f>VLOOKUP(A16,'[4]PE+Sports'!$B$5:$P$54,15,0)</f>
        <v>17740</v>
      </c>
      <c r="CH16" s="433">
        <f>VLOOKUP(A16,'[4]UIFSM'!$B$5:$K$43,10,0)</f>
        <v>27094</v>
      </c>
      <c r="CI16" s="433"/>
      <c r="CJ16" s="433"/>
      <c r="CK16" s="433"/>
    </row>
    <row r="17" spans="1:89" ht="15">
      <c r="A17" s="37">
        <v>2029</v>
      </c>
      <c r="B17" s="115" t="s">
        <v>90</v>
      </c>
      <c r="C17" s="251">
        <v>414</v>
      </c>
      <c r="D17" s="254">
        <v>414</v>
      </c>
      <c r="E17" s="254">
        <v>0</v>
      </c>
      <c r="F17" s="254">
        <v>0</v>
      </c>
      <c r="G17" s="238">
        <v>0</v>
      </c>
      <c r="H17" s="254">
        <v>60.180451127819545</v>
      </c>
      <c r="I17" s="238">
        <v>0</v>
      </c>
      <c r="J17" s="254">
        <v>42.10169491525412</v>
      </c>
      <c r="K17" s="238">
        <v>79.19128329297811</v>
      </c>
      <c r="L17" s="254">
        <v>25.060532687651325</v>
      </c>
      <c r="M17" s="238">
        <v>59.142857142857196</v>
      </c>
      <c r="N17" s="254">
        <v>1.002421307506054</v>
      </c>
      <c r="O17" s="238">
        <v>0</v>
      </c>
      <c r="P17" s="254">
        <v>0</v>
      </c>
      <c r="Q17" s="238">
        <v>0</v>
      </c>
      <c r="R17" s="254">
        <v>0</v>
      </c>
      <c r="S17" s="254">
        <v>0</v>
      </c>
      <c r="T17" s="238">
        <v>0</v>
      </c>
      <c r="U17" s="254">
        <v>0</v>
      </c>
      <c r="V17" s="238">
        <v>105.82584269662927</v>
      </c>
      <c r="W17" s="254">
        <v>0</v>
      </c>
      <c r="X17" s="248">
        <v>53.111416837323084</v>
      </c>
      <c r="Y17" s="248">
        <v>0</v>
      </c>
      <c r="Z17" s="248">
        <v>0</v>
      </c>
      <c r="AA17" s="241">
        <v>0</v>
      </c>
      <c r="AB17" s="58">
        <f t="shared" si="1"/>
        <v>1317146.794398401</v>
      </c>
      <c r="AC17" s="59">
        <f t="shared" si="2"/>
        <v>0</v>
      </c>
      <c r="AD17" s="59">
        <f t="shared" si="3"/>
        <v>0</v>
      </c>
      <c r="AE17" s="59">
        <f t="shared" si="4"/>
        <v>60050.461353383456</v>
      </c>
      <c r="AF17" s="59">
        <f t="shared" si="5"/>
        <v>0</v>
      </c>
      <c r="AG17" s="59">
        <f t="shared" si="6"/>
        <v>2740.8203389830433</v>
      </c>
      <c r="AH17" s="59">
        <f t="shared" si="7"/>
        <v>10310.705084745749</v>
      </c>
      <c r="AI17" s="59">
        <f t="shared" si="8"/>
        <v>4894.322033898304</v>
      </c>
      <c r="AJ17" s="59">
        <f t="shared" si="9"/>
        <v>15400.800000000012</v>
      </c>
      <c r="AK17" s="59">
        <f t="shared" si="10"/>
        <v>326.28813559322055</v>
      </c>
      <c r="AL17" s="59">
        <f t="shared" si="11"/>
        <v>0</v>
      </c>
      <c r="AM17" s="59">
        <f t="shared" si="12"/>
        <v>0</v>
      </c>
      <c r="AN17" s="59">
        <f t="shared" si="13"/>
        <v>0</v>
      </c>
      <c r="AO17" s="59">
        <f t="shared" si="14"/>
        <v>0</v>
      </c>
      <c r="AP17" s="59">
        <f t="shared" si="15"/>
        <v>0</v>
      </c>
      <c r="AQ17" s="59">
        <f t="shared" si="16"/>
        <v>0</v>
      </c>
      <c r="AR17" s="256">
        <f t="shared" si="17"/>
        <v>0</v>
      </c>
      <c r="AS17" s="245">
        <f t="shared" si="18"/>
        <v>78213.76382022476</v>
      </c>
      <c r="AT17" s="254">
        <f t="shared" si="19"/>
        <v>0</v>
      </c>
      <c r="AU17" s="236">
        <f t="shared" si="20"/>
        <v>58422.55852105539</v>
      </c>
      <c r="AV17" s="59">
        <f t="shared" si="21"/>
        <v>0</v>
      </c>
      <c r="AW17" s="59">
        <f t="shared" si="22"/>
        <v>0</v>
      </c>
      <c r="AX17" s="59">
        <f t="shared" si="23"/>
        <v>0</v>
      </c>
      <c r="AY17" s="256">
        <v>140000</v>
      </c>
      <c r="AZ17" s="258">
        <v>48500</v>
      </c>
      <c r="BA17" s="258">
        <v>5903</v>
      </c>
      <c r="BB17" s="236"/>
      <c r="BC17" s="59"/>
      <c r="BD17" s="60">
        <v>0</v>
      </c>
      <c r="BE17" s="58">
        <f t="shared" si="24"/>
        <v>1317146.794398401</v>
      </c>
      <c r="BF17" s="59">
        <f t="shared" si="25"/>
        <v>230359.71928788396</v>
      </c>
      <c r="BG17" s="59">
        <f t="shared" si="26"/>
        <v>194403</v>
      </c>
      <c r="BH17" s="60">
        <f t="shared" si="27"/>
        <v>58422.55852105539</v>
      </c>
      <c r="BI17" s="34">
        <f t="shared" si="28"/>
        <v>1741909.513686285</v>
      </c>
      <c r="BJ17" s="59">
        <f t="shared" si="29"/>
        <v>1741909.513686285</v>
      </c>
      <c r="BK17" s="60">
        <f t="shared" si="30"/>
        <v>0</v>
      </c>
      <c r="BL17" s="58">
        <f t="shared" si="31"/>
        <v>1547506.513686285</v>
      </c>
      <c r="BM17" s="59">
        <v>3737.9383438854215</v>
      </c>
      <c r="BN17" s="59">
        <v>3647.8429395465996</v>
      </c>
      <c r="BO17" s="33">
        <f t="shared" si="32"/>
        <v>0.024698268492343627</v>
      </c>
      <c r="BP17" s="204">
        <f t="shared" si="33"/>
        <v>0</v>
      </c>
      <c r="BQ17" s="60">
        <f t="shared" si="34"/>
        <v>0</v>
      </c>
      <c r="BR17" s="205">
        <f t="shared" si="35"/>
        <v>1741909.513686285</v>
      </c>
      <c r="BS17" s="91">
        <f t="shared" si="36"/>
        <v>0</v>
      </c>
      <c r="BT17" s="91">
        <f t="shared" si="37"/>
        <v>505.08</v>
      </c>
      <c r="BU17" s="97">
        <f t="shared" si="38"/>
        <v>1741404.4336862848</v>
      </c>
      <c r="BV17" s="10"/>
      <c r="BW17" s="116">
        <f>VLOOKUP(A17,'EYSFF Universal Hrs'!$A$159:$W$216,23,0)</f>
        <v>123779.84230167285</v>
      </c>
      <c r="BX17" s="385">
        <f>VLOOKUP(A17,'EYSFF Extended Hrs'!$A$115:$W$172,11,0)</f>
        <v>0</v>
      </c>
      <c r="BY17" s="23"/>
      <c r="BZ17" s="23"/>
      <c r="CA17" s="199">
        <f>VLOOKUP(A17,'Top Up SEN'!A:E,5,0)</f>
        <v>30842</v>
      </c>
      <c r="CB17" s="199">
        <f>VLOOKUP(A17,'2% threshold'!A:H,8,0)</f>
        <v>0</v>
      </c>
      <c r="CC17" s="212"/>
      <c r="CD17" s="433">
        <f>VLOOKUP(A17,'[4]Pupil Premuim'!$B:$G,6,0)</f>
        <v>76560</v>
      </c>
      <c r="CE17" s="433">
        <v>0</v>
      </c>
      <c r="CF17" s="433">
        <f>VLOOKUP(A17,'[4]Pupil Premuim'!$T:$Z,7,0)</f>
        <v>4600</v>
      </c>
      <c r="CG17" s="433">
        <f>VLOOKUP(A17,'[4]PE+Sports'!$B$5:$P$54,15,0)</f>
        <v>19560</v>
      </c>
      <c r="CH17" s="433">
        <f>VLOOKUP(A17,'[4]UIFSM'!$B$5:$K$43,10,0)</f>
        <v>58121</v>
      </c>
      <c r="CI17" s="433"/>
      <c r="CJ17" s="433"/>
      <c r="CK17" s="433"/>
    </row>
    <row r="18" spans="1:89" ht="15">
      <c r="A18" s="37">
        <v>2032</v>
      </c>
      <c r="B18" s="115" t="s">
        <v>91</v>
      </c>
      <c r="C18" s="251">
        <v>307</v>
      </c>
      <c r="D18" s="254">
        <v>307</v>
      </c>
      <c r="E18" s="254">
        <v>0</v>
      </c>
      <c r="F18" s="254">
        <v>0</v>
      </c>
      <c r="G18" s="238">
        <v>0</v>
      </c>
      <c r="H18" s="254">
        <v>56.67692307692308</v>
      </c>
      <c r="I18" s="238">
        <v>0</v>
      </c>
      <c r="J18" s="254">
        <v>29.000000000000007</v>
      </c>
      <c r="K18" s="238">
        <v>18.999999999999986</v>
      </c>
      <c r="L18" s="254">
        <v>0.9999999999999991</v>
      </c>
      <c r="M18" s="238">
        <v>0</v>
      </c>
      <c r="N18" s="254">
        <v>0</v>
      </c>
      <c r="O18" s="238">
        <v>0</v>
      </c>
      <c r="P18" s="254">
        <v>0</v>
      </c>
      <c r="Q18" s="238">
        <v>0</v>
      </c>
      <c r="R18" s="254">
        <v>0</v>
      </c>
      <c r="S18" s="254">
        <v>0</v>
      </c>
      <c r="T18" s="238">
        <v>0</v>
      </c>
      <c r="U18" s="254">
        <v>0</v>
      </c>
      <c r="V18" s="238">
        <v>23.075163398692823</v>
      </c>
      <c r="W18" s="254">
        <v>0</v>
      </c>
      <c r="X18" s="248">
        <v>59.869152823625235</v>
      </c>
      <c r="Y18" s="248">
        <v>0</v>
      </c>
      <c r="Z18" s="248">
        <v>0</v>
      </c>
      <c r="AA18" s="241">
        <v>0</v>
      </c>
      <c r="AB18" s="58">
        <f t="shared" si="1"/>
        <v>976724.7968123407</v>
      </c>
      <c r="AC18" s="59">
        <f t="shared" si="2"/>
        <v>0</v>
      </c>
      <c r="AD18" s="59">
        <f t="shared" si="3"/>
        <v>0</v>
      </c>
      <c r="AE18" s="59">
        <f t="shared" si="4"/>
        <v>56554.50092307693</v>
      </c>
      <c r="AF18" s="59">
        <f t="shared" si="5"/>
        <v>0</v>
      </c>
      <c r="AG18" s="59">
        <f t="shared" si="6"/>
        <v>1887.9000000000003</v>
      </c>
      <c r="AH18" s="59">
        <f t="shared" si="7"/>
        <v>2473.799999999998</v>
      </c>
      <c r="AI18" s="59">
        <f t="shared" si="8"/>
        <v>195.29999999999984</v>
      </c>
      <c r="AJ18" s="59">
        <f t="shared" si="9"/>
        <v>0</v>
      </c>
      <c r="AK18" s="59">
        <f t="shared" si="10"/>
        <v>0</v>
      </c>
      <c r="AL18" s="59">
        <f t="shared" si="11"/>
        <v>0</v>
      </c>
      <c r="AM18" s="59">
        <f t="shared" si="12"/>
        <v>0</v>
      </c>
      <c r="AN18" s="59">
        <f t="shared" si="13"/>
        <v>0</v>
      </c>
      <c r="AO18" s="59">
        <f t="shared" si="14"/>
        <v>0</v>
      </c>
      <c r="AP18" s="59">
        <f t="shared" si="15"/>
        <v>0</v>
      </c>
      <c r="AQ18" s="59">
        <f t="shared" si="16"/>
        <v>0</v>
      </c>
      <c r="AR18" s="256">
        <f t="shared" si="17"/>
        <v>0</v>
      </c>
      <c r="AS18" s="245">
        <f t="shared" si="18"/>
        <v>17054.39176470589</v>
      </c>
      <c r="AT18" s="254">
        <f t="shared" si="19"/>
        <v>0</v>
      </c>
      <c r="AU18" s="236">
        <f t="shared" si="20"/>
        <v>65856.06810598775</v>
      </c>
      <c r="AV18" s="59">
        <f t="shared" si="21"/>
        <v>0</v>
      </c>
      <c r="AW18" s="59">
        <f t="shared" si="22"/>
        <v>0</v>
      </c>
      <c r="AX18" s="59">
        <f t="shared" si="23"/>
        <v>0</v>
      </c>
      <c r="AY18" s="256">
        <v>140000</v>
      </c>
      <c r="AZ18" s="258">
        <v>19250</v>
      </c>
      <c r="BA18" s="258">
        <v>2046.13</v>
      </c>
      <c r="BB18" s="236"/>
      <c r="BC18" s="59"/>
      <c r="BD18" s="60">
        <v>0</v>
      </c>
      <c r="BE18" s="58">
        <f t="shared" si="24"/>
        <v>976724.7968123407</v>
      </c>
      <c r="BF18" s="59">
        <f t="shared" si="25"/>
        <v>144021.96079377056</v>
      </c>
      <c r="BG18" s="59">
        <f t="shared" si="26"/>
        <v>161296.13</v>
      </c>
      <c r="BH18" s="60">
        <f t="shared" si="27"/>
        <v>65856.06810598775</v>
      </c>
      <c r="BI18" s="34">
        <f t="shared" si="28"/>
        <v>1282042.8876061114</v>
      </c>
      <c r="BJ18" s="59">
        <f t="shared" si="29"/>
        <v>1282042.8876061114</v>
      </c>
      <c r="BK18" s="60">
        <f t="shared" si="30"/>
        <v>0</v>
      </c>
      <c r="BL18" s="58">
        <f t="shared" si="31"/>
        <v>1120746.7576061115</v>
      </c>
      <c r="BM18" s="59">
        <v>3650.6409042544346</v>
      </c>
      <c r="BN18" s="59">
        <v>3529.4049864306785</v>
      </c>
      <c r="BO18" s="33">
        <f t="shared" si="32"/>
        <v>0.034350242686760415</v>
      </c>
      <c r="BP18" s="204">
        <f t="shared" si="33"/>
        <v>0</v>
      </c>
      <c r="BQ18" s="60">
        <f t="shared" si="34"/>
        <v>0</v>
      </c>
      <c r="BR18" s="205">
        <f t="shared" si="35"/>
        <v>1282042.8876061114</v>
      </c>
      <c r="BS18" s="91">
        <f t="shared" si="36"/>
        <v>0</v>
      </c>
      <c r="BT18" s="91">
        <f t="shared" si="37"/>
        <v>374.53999999999996</v>
      </c>
      <c r="BU18" s="97">
        <f t="shared" si="38"/>
        <v>1281668.3476061113</v>
      </c>
      <c r="BV18" s="10"/>
      <c r="BW18" s="116"/>
      <c r="BX18" s="385"/>
      <c r="BY18" s="23"/>
      <c r="BZ18" s="23"/>
      <c r="CA18" s="225">
        <f>VLOOKUP(A18,'Top Up SEN'!A:E,5,0)</f>
        <v>49157</v>
      </c>
      <c r="CB18" s="225">
        <f>VLOOKUP(A18,'2% threshold'!A:H,8,0)</f>
        <v>0</v>
      </c>
      <c r="CC18" s="212"/>
      <c r="CD18" s="433">
        <f>VLOOKUP(A18,'[4]Pupil Premuim'!$B:$G,6,0)</f>
        <v>79200</v>
      </c>
      <c r="CE18" s="433">
        <f>VLOOKUP(A18,'[4]Pupil Premuim'!$K:$P,6,0)</f>
        <v>300</v>
      </c>
      <c r="CF18" s="433">
        <v>0</v>
      </c>
      <c r="CG18" s="433">
        <f>VLOOKUP(A18,'[4]PE+Sports'!$B$5:$P$54,15,0)</f>
        <v>19070</v>
      </c>
      <c r="CH18" s="433"/>
      <c r="CI18" s="433"/>
      <c r="CJ18" s="433"/>
      <c r="CK18" s="433"/>
    </row>
    <row r="19" spans="1:89" ht="15">
      <c r="A19" s="37">
        <v>2033</v>
      </c>
      <c r="B19" s="10" t="s">
        <v>15</v>
      </c>
      <c r="C19" s="251">
        <v>264</v>
      </c>
      <c r="D19" s="254">
        <v>264</v>
      </c>
      <c r="E19" s="254">
        <v>0</v>
      </c>
      <c r="F19" s="254">
        <v>0</v>
      </c>
      <c r="G19" s="238">
        <v>0</v>
      </c>
      <c r="H19" s="254">
        <v>30.000000000000096</v>
      </c>
      <c r="I19" s="238">
        <v>0</v>
      </c>
      <c r="J19" s="254">
        <v>20.00000000000001</v>
      </c>
      <c r="K19" s="238">
        <v>4.000000000000013</v>
      </c>
      <c r="L19" s="254">
        <v>1.0000000000000007</v>
      </c>
      <c r="M19" s="238">
        <v>0</v>
      </c>
      <c r="N19" s="254">
        <v>0</v>
      </c>
      <c r="O19" s="238">
        <v>0</v>
      </c>
      <c r="P19" s="254">
        <v>0</v>
      </c>
      <c r="Q19" s="238">
        <v>0</v>
      </c>
      <c r="R19" s="254">
        <v>0</v>
      </c>
      <c r="S19" s="254">
        <v>0</v>
      </c>
      <c r="T19" s="238">
        <v>0</v>
      </c>
      <c r="U19" s="254">
        <v>0</v>
      </c>
      <c r="V19" s="238">
        <v>42.976744186046616</v>
      </c>
      <c r="W19" s="254">
        <v>0</v>
      </c>
      <c r="X19" s="248">
        <v>41.19828705882349</v>
      </c>
      <c r="Y19" s="248">
        <v>0</v>
      </c>
      <c r="Z19" s="248">
        <v>0</v>
      </c>
      <c r="AA19" s="241">
        <v>0</v>
      </c>
      <c r="AB19" s="58">
        <f t="shared" si="1"/>
        <v>839919.6949786904</v>
      </c>
      <c r="AC19" s="59">
        <f t="shared" si="2"/>
        <v>0</v>
      </c>
      <c r="AD19" s="59">
        <f t="shared" si="3"/>
        <v>0</v>
      </c>
      <c r="AE19" s="59">
        <f t="shared" si="4"/>
        <v>29935.200000000095</v>
      </c>
      <c r="AF19" s="59">
        <f t="shared" si="5"/>
        <v>0</v>
      </c>
      <c r="AG19" s="59">
        <f t="shared" si="6"/>
        <v>1302.0000000000007</v>
      </c>
      <c r="AH19" s="59">
        <f t="shared" si="7"/>
        <v>520.8000000000017</v>
      </c>
      <c r="AI19" s="59">
        <f t="shared" si="8"/>
        <v>195.30000000000015</v>
      </c>
      <c r="AJ19" s="59">
        <f t="shared" si="9"/>
        <v>0</v>
      </c>
      <c r="AK19" s="59">
        <f t="shared" si="10"/>
        <v>0</v>
      </c>
      <c r="AL19" s="59">
        <f t="shared" si="11"/>
        <v>0</v>
      </c>
      <c r="AM19" s="59">
        <f t="shared" si="12"/>
        <v>0</v>
      </c>
      <c r="AN19" s="59">
        <f t="shared" si="13"/>
        <v>0</v>
      </c>
      <c r="AO19" s="59">
        <f t="shared" si="14"/>
        <v>0</v>
      </c>
      <c r="AP19" s="59">
        <f t="shared" si="15"/>
        <v>0</v>
      </c>
      <c r="AQ19" s="59">
        <f t="shared" si="16"/>
        <v>0</v>
      </c>
      <c r="AR19" s="256">
        <f t="shared" si="17"/>
        <v>0</v>
      </c>
      <c r="AS19" s="245">
        <f t="shared" si="18"/>
        <v>31763.252093023337</v>
      </c>
      <c r="AT19" s="254">
        <f t="shared" si="19"/>
        <v>0</v>
      </c>
      <c r="AU19" s="236">
        <f t="shared" si="20"/>
        <v>45318.115764705835</v>
      </c>
      <c r="AV19" s="59">
        <f t="shared" si="21"/>
        <v>0</v>
      </c>
      <c r="AW19" s="59">
        <f t="shared" si="22"/>
        <v>0</v>
      </c>
      <c r="AX19" s="59">
        <f t="shared" si="23"/>
        <v>0</v>
      </c>
      <c r="AY19" s="256">
        <v>140000</v>
      </c>
      <c r="AZ19" s="258">
        <v>19250</v>
      </c>
      <c r="BA19" s="258">
        <v>2046.13</v>
      </c>
      <c r="BB19" s="236"/>
      <c r="BC19" s="59"/>
      <c r="BD19" s="60">
        <v>0</v>
      </c>
      <c r="BE19" s="58">
        <f t="shared" si="24"/>
        <v>839919.6949786904</v>
      </c>
      <c r="BF19" s="59">
        <f t="shared" si="25"/>
        <v>109034.66785772928</v>
      </c>
      <c r="BG19" s="59">
        <f t="shared" si="26"/>
        <v>161296.13</v>
      </c>
      <c r="BH19" s="60">
        <f t="shared" si="27"/>
        <v>45318.115764705835</v>
      </c>
      <c r="BI19" s="34">
        <f t="shared" si="28"/>
        <v>1110250.4928364195</v>
      </c>
      <c r="BJ19" s="59">
        <f t="shared" si="29"/>
        <v>1110250.4928364195</v>
      </c>
      <c r="BK19" s="60">
        <f t="shared" si="30"/>
        <v>0</v>
      </c>
      <c r="BL19" s="58">
        <f t="shared" si="31"/>
        <v>948954.3628364196</v>
      </c>
      <c r="BM19" s="59">
        <v>3594.524101653104</v>
      </c>
      <c r="BN19" s="59">
        <v>3481.4889387218045</v>
      </c>
      <c r="BO19" s="33">
        <f t="shared" si="32"/>
        <v>0.032467477254946926</v>
      </c>
      <c r="BP19" s="204">
        <f t="shared" si="33"/>
        <v>0</v>
      </c>
      <c r="BQ19" s="60">
        <f t="shared" si="34"/>
        <v>0</v>
      </c>
      <c r="BR19" s="205">
        <f t="shared" si="35"/>
        <v>1110250.4928364195</v>
      </c>
      <c r="BS19" s="91">
        <f t="shared" si="36"/>
        <v>0</v>
      </c>
      <c r="BT19" s="91">
        <f t="shared" si="37"/>
        <v>322.08</v>
      </c>
      <c r="BU19" s="97">
        <f t="shared" si="38"/>
        <v>1109928.4128364194</v>
      </c>
      <c r="BV19" s="10"/>
      <c r="BW19" s="116">
        <f>VLOOKUP(A19,'EYSFF Universal Hrs'!$A$159:$W$216,23,0)</f>
        <v>225638.29994889372</v>
      </c>
      <c r="BX19" s="385">
        <f>VLOOKUP(A19,'EYSFF Extended Hrs'!$A$115:$W$172,11,0)</f>
        <v>0</v>
      </c>
      <c r="BY19" s="23"/>
      <c r="BZ19" s="23"/>
      <c r="CA19" s="225">
        <f>VLOOKUP(A19,'Top Up SEN'!A:E,5,0)</f>
        <v>32243</v>
      </c>
      <c r="CB19" s="225">
        <f>VLOOKUP(A19,'2% threshold'!A:H,8,0)</f>
        <v>12000</v>
      </c>
      <c r="CC19" s="212"/>
      <c r="CD19" s="433">
        <f>VLOOKUP(A19,'[4]Pupil Premuim'!$B:$G,6,0)</f>
        <v>38280</v>
      </c>
      <c r="CE19" s="433">
        <v>0</v>
      </c>
      <c r="CF19" s="433">
        <v>0</v>
      </c>
      <c r="CG19" s="433">
        <f>VLOOKUP(A19,'[4]PE+Sports'!$B$5:$P$54,15,0)</f>
        <v>17740</v>
      </c>
      <c r="CH19" s="433">
        <f>VLOOKUP(A19,'[4]UIFSM'!$B$5:$K$43,10,0)</f>
        <v>83467</v>
      </c>
      <c r="CI19" s="433"/>
      <c r="CJ19" s="433"/>
      <c r="CK19" s="433"/>
    </row>
    <row r="20" spans="1:89" ht="15">
      <c r="A20" s="37">
        <v>2036</v>
      </c>
      <c r="B20" s="115" t="s">
        <v>92</v>
      </c>
      <c r="C20" s="251">
        <v>448</v>
      </c>
      <c r="D20" s="254">
        <v>448</v>
      </c>
      <c r="E20" s="254">
        <v>0</v>
      </c>
      <c r="F20" s="254">
        <v>0</v>
      </c>
      <c r="G20" s="238">
        <v>0</v>
      </c>
      <c r="H20" s="254">
        <v>183.7948717948718</v>
      </c>
      <c r="I20" s="238">
        <v>0</v>
      </c>
      <c r="J20" s="254">
        <v>150.9999999999998</v>
      </c>
      <c r="K20" s="238">
        <v>45.99999999999981</v>
      </c>
      <c r="L20" s="254">
        <v>227.99999999999977</v>
      </c>
      <c r="M20" s="238">
        <v>7</v>
      </c>
      <c r="N20" s="254">
        <v>5.000000000000006</v>
      </c>
      <c r="O20" s="238">
        <v>0</v>
      </c>
      <c r="P20" s="254">
        <v>0</v>
      </c>
      <c r="Q20" s="238">
        <v>0</v>
      </c>
      <c r="R20" s="254">
        <v>0</v>
      </c>
      <c r="S20" s="254">
        <v>0</v>
      </c>
      <c r="T20" s="238">
        <v>0</v>
      </c>
      <c r="U20" s="254">
        <v>0</v>
      </c>
      <c r="V20" s="238">
        <v>118.79550561797767</v>
      </c>
      <c r="W20" s="254">
        <v>0</v>
      </c>
      <c r="X20" s="248">
        <v>126.49552425317957</v>
      </c>
      <c r="Y20" s="248">
        <v>0</v>
      </c>
      <c r="Z20" s="248">
        <v>0</v>
      </c>
      <c r="AA20" s="241">
        <v>0</v>
      </c>
      <c r="AB20" s="58">
        <f t="shared" si="1"/>
        <v>1425318.2702668686</v>
      </c>
      <c r="AC20" s="59">
        <f t="shared" si="2"/>
        <v>0</v>
      </c>
      <c r="AD20" s="59">
        <f t="shared" si="3"/>
        <v>0</v>
      </c>
      <c r="AE20" s="59">
        <f t="shared" si="4"/>
        <v>183397.8748717949</v>
      </c>
      <c r="AF20" s="59">
        <f t="shared" si="5"/>
        <v>0</v>
      </c>
      <c r="AG20" s="59">
        <f t="shared" si="6"/>
        <v>9830.099999999986</v>
      </c>
      <c r="AH20" s="59">
        <f t="shared" si="7"/>
        <v>5989.199999999974</v>
      </c>
      <c r="AI20" s="59">
        <f t="shared" si="8"/>
        <v>44528.39999999996</v>
      </c>
      <c r="AJ20" s="59">
        <f t="shared" si="9"/>
        <v>1822.7999999999997</v>
      </c>
      <c r="AK20" s="59">
        <f t="shared" si="10"/>
        <v>1627.500000000002</v>
      </c>
      <c r="AL20" s="59">
        <f t="shared" si="11"/>
        <v>0</v>
      </c>
      <c r="AM20" s="59">
        <f t="shared" si="12"/>
        <v>0</v>
      </c>
      <c r="AN20" s="59">
        <f t="shared" si="13"/>
        <v>0</v>
      </c>
      <c r="AO20" s="59">
        <f t="shared" si="14"/>
        <v>0</v>
      </c>
      <c r="AP20" s="59">
        <f t="shared" si="15"/>
        <v>0</v>
      </c>
      <c r="AQ20" s="59">
        <f t="shared" si="16"/>
        <v>0</v>
      </c>
      <c r="AR20" s="256">
        <f t="shared" si="17"/>
        <v>0</v>
      </c>
      <c r="AS20" s="245">
        <f t="shared" si="18"/>
        <v>87799.38229213493</v>
      </c>
      <c r="AT20" s="254">
        <f t="shared" si="19"/>
        <v>0</v>
      </c>
      <c r="AU20" s="236">
        <f t="shared" si="20"/>
        <v>139145.0766784975</v>
      </c>
      <c r="AV20" s="59">
        <f t="shared" si="21"/>
        <v>0</v>
      </c>
      <c r="AW20" s="59">
        <f t="shared" si="22"/>
        <v>0</v>
      </c>
      <c r="AX20" s="59">
        <f t="shared" si="23"/>
        <v>0</v>
      </c>
      <c r="AY20" s="256">
        <v>140000</v>
      </c>
      <c r="AZ20" s="258">
        <v>30000</v>
      </c>
      <c r="BA20" s="258">
        <v>7753.04</v>
      </c>
      <c r="BB20" s="236"/>
      <c r="BC20" s="59"/>
      <c r="BD20" s="60">
        <v>0</v>
      </c>
      <c r="BE20" s="58">
        <f t="shared" si="24"/>
        <v>1425318.2702668686</v>
      </c>
      <c r="BF20" s="59">
        <f t="shared" si="25"/>
        <v>474140.33384242724</v>
      </c>
      <c r="BG20" s="59">
        <f t="shared" si="26"/>
        <v>177753.04</v>
      </c>
      <c r="BH20" s="60">
        <f t="shared" si="27"/>
        <v>139145.0766784975</v>
      </c>
      <c r="BI20" s="34">
        <f t="shared" si="28"/>
        <v>2077211.644109296</v>
      </c>
      <c r="BJ20" s="59">
        <f t="shared" si="29"/>
        <v>2077211.644109296</v>
      </c>
      <c r="BK20" s="60">
        <f t="shared" si="30"/>
        <v>0</v>
      </c>
      <c r="BL20" s="58">
        <f t="shared" si="31"/>
        <v>1899458.6041092959</v>
      </c>
      <c r="BM20" s="59">
        <v>4239.862936347201</v>
      </c>
      <c r="BN20" s="59">
        <v>4200.617645744681</v>
      </c>
      <c r="BO20" s="33">
        <f t="shared" si="32"/>
        <v>0.009342742880270578</v>
      </c>
      <c r="BP20" s="204">
        <f t="shared" si="33"/>
        <v>0</v>
      </c>
      <c r="BQ20" s="60">
        <f t="shared" si="34"/>
        <v>0</v>
      </c>
      <c r="BR20" s="205">
        <f t="shared" si="35"/>
        <v>2077211.644109296</v>
      </c>
      <c r="BS20" s="91">
        <f t="shared" si="36"/>
        <v>0</v>
      </c>
      <c r="BT20" s="91">
        <f t="shared" si="37"/>
        <v>546.56</v>
      </c>
      <c r="BU20" s="97">
        <f t="shared" si="38"/>
        <v>2076665.0841092959</v>
      </c>
      <c r="BV20" s="10"/>
      <c r="BW20" s="116"/>
      <c r="BX20" s="385"/>
      <c r="BY20" s="23"/>
      <c r="BZ20" s="23"/>
      <c r="CA20" s="225">
        <f>VLOOKUP(A20,'Top Up SEN'!A:E,5,0)</f>
        <v>34742</v>
      </c>
      <c r="CB20" s="225">
        <f>VLOOKUP(A20,'2% threshold'!A:H,8,0)</f>
        <v>0</v>
      </c>
      <c r="CC20" s="212"/>
      <c r="CD20" s="433">
        <f>VLOOKUP(A20,'[4]Pupil Premuim'!$B:$G,6,0)</f>
        <v>253440</v>
      </c>
      <c r="CE20" s="433">
        <v>0</v>
      </c>
      <c r="CF20" s="433">
        <v>0</v>
      </c>
      <c r="CG20" s="433">
        <f>VLOOKUP(A20,'[4]PE+Sports'!$B$5:$P$54,15,0)</f>
        <v>20480</v>
      </c>
      <c r="CH20" s="433"/>
      <c r="CI20" s="433"/>
      <c r="CJ20" s="433"/>
      <c r="CK20" s="433"/>
    </row>
    <row r="21" spans="1:89" ht="15">
      <c r="A21" s="37">
        <v>2037</v>
      </c>
      <c r="B21" s="115" t="s">
        <v>93</v>
      </c>
      <c r="C21" s="251">
        <v>337</v>
      </c>
      <c r="D21" s="254">
        <v>337</v>
      </c>
      <c r="E21" s="254">
        <v>0</v>
      </c>
      <c r="F21" s="254">
        <v>0</v>
      </c>
      <c r="G21" s="238">
        <v>0</v>
      </c>
      <c r="H21" s="254">
        <v>63.1875</v>
      </c>
      <c r="I21" s="238">
        <v>0</v>
      </c>
      <c r="J21" s="254">
        <v>113.00000000000009</v>
      </c>
      <c r="K21" s="238">
        <v>24</v>
      </c>
      <c r="L21" s="254">
        <v>173.99999999999997</v>
      </c>
      <c r="M21" s="238">
        <v>2.0000000000000004</v>
      </c>
      <c r="N21" s="254">
        <v>2.9999999999999996</v>
      </c>
      <c r="O21" s="238">
        <v>0</v>
      </c>
      <c r="P21" s="254">
        <v>0</v>
      </c>
      <c r="Q21" s="238">
        <v>0</v>
      </c>
      <c r="R21" s="254">
        <v>0</v>
      </c>
      <c r="S21" s="254">
        <v>0</v>
      </c>
      <c r="T21" s="238">
        <v>0</v>
      </c>
      <c r="U21" s="254">
        <v>0</v>
      </c>
      <c r="V21" s="238">
        <v>306.50226244343895</v>
      </c>
      <c r="W21" s="254">
        <v>0</v>
      </c>
      <c r="X21" s="248">
        <v>50.63661062801929</v>
      </c>
      <c r="Y21" s="248">
        <v>0</v>
      </c>
      <c r="Z21" s="248">
        <v>0</v>
      </c>
      <c r="AA21" s="241">
        <v>0</v>
      </c>
      <c r="AB21" s="58">
        <f t="shared" si="1"/>
        <v>1072170.2166962828</v>
      </c>
      <c r="AC21" s="59">
        <f t="shared" si="2"/>
        <v>0</v>
      </c>
      <c r="AD21" s="59">
        <f t="shared" si="3"/>
        <v>0</v>
      </c>
      <c r="AE21" s="59">
        <f t="shared" si="4"/>
        <v>63051.015</v>
      </c>
      <c r="AF21" s="59">
        <f t="shared" si="5"/>
        <v>0</v>
      </c>
      <c r="AG21" s="59">
        <f t="shared" si="6"/>
        <v>7356.300000000005</v>
      </c>
      <c r="AH21" s="59">
        <f t="shared" si="7"/>
        <v>3124.7999999999997</v>
      </c>
      <c r="AI21" s="59">
        <f t="shared" si="8"/>
        <v>33982.2</v>
      </c>
      <c r="AJ21" s="59">
        <f t="shared" si="9"/>
        <v>520.8000000000001</v>
      </c>
      <c r="AK21" s="59">
        <f t="shared" si="10"/>
        <v>976.4999999999999</v>
      </c>
      <c r="AL21" s="59">
        <f t="shared" si="11"/>
        <v>0</v>
      </c>
      <c r="AM21" s="59">
        <f t="shared" si="12"/>
        <v>0</v>
      </c>
      <c r="AN21" s="59">
        <f t="shared" si="13"/>
        <v>0</v>
      </c>
      <c r="AO21" s="59">
        <f t="shared" si="14"/>
        <v>0</v>
      </c>
      <c r="AP21" s="59">
        <f t="shared" si="15"/>
        <v>0</v>
      </c>
      <c r="AQ21" s="59">
        <f t="shared" si="16"/>
        <v>0</v>
      </c>
      <c r="AR21" s="256">
        <f t="shared" si="17"/>
        <v>0</v>
      </c>
      <c r="AS21" s="245">
        <f t="shared" si="18"/>
        <v>226529.69212669687</v>
      </c>
      <c r="AT21" s="254">
        <f t="shared" si="19"/>
        <v>0</v>
      </c>
      <c r="AU21" s="236">
        <f t="shared" si="20"/>
        <v>55700.27169082122</v>
      </c>
      <c r="AV21" s="59">
        <f t="shared" si="21"/>
        <v>0</v>
      </c>
      <c r="AW21" s="59">
        <f t="shared" si="22"/>
        <v>0</v>
      </c>
      <c r="AX21" s="59">
        <f t="shared" si="23"/>
        <v>0</v>
      </c>
      <c r="AY21" s="256">
        <v>140000</v>
      </c>
      <c r="AZ21" s="258">
        <v>30000</v>
      </c>
      <c r="BA21" s="258">
        <v>7753.04</v>
      </c>
      <c r="BB21" s="236"/>
      <c r="BC21" s="59"/>
      <c r="BD21" s="60">
        <v>0</v>
      </c>
      <c r="BE21" s="58">
        <f t="shared" si="24"/>
        <v>1072170.2166962828</v>
      </c>
      <c r="BF21" s="59">
        <f t="shared" si="25"/>
        <v>391241.5788175181</v>
      </c>
      <c r="BG21" s="59">
        <f t="shared" si="26"/>
        <v>177753.04</v>
      </c>
      <c r="BH21" s="60">
        <f t="shared" si="27"/>
        <v>55700.27169082122</v>
      </c>
      <c r="BI21" s="34">
        <f t="shared" si="28"/>
        <v>1641164.8355138008</v>
      </c>
      <c r="BJ21" s="59">
        <f t="shared" si="29"/>
        <v>1641164.8355138008</v>
      </c>
      <c r="BK21" s="60">
        <f t="shared" si="30"/>
        <v>0</v>
      </c>
      <c r="BL21" s="58">
        <f t="shared" si="31"/>
        <v>1463411.7955138008</v>
      </c>
      <c r="BM21" s="59">
        <v>4342.46822483843</v>
      </c>
      <c r="BN21" s="59">
        <v>4397.95005339233</v>
      </c>
      <c r="BO21" s="33">
        <f t="shared" si="32"/>
        <v>-0.012615383958511504</v>
      </c>
      <c r="BP21" s="204">
        <f t="shared" si="33"/>
        <v>0</v>
      </c>
      <c r="BQ21" s="60">
        <f t="shared" si="34"/>
        <v>0</v>
      </c>
      <c r="BR21" s="205">
        <f t="shared" si="35"/>
        <v>1641164.8355138008</v>
      </c>
      <c r="BS21" s="91">
        <f t="shared" si="36"/>
        <v>0</v>
      </c>
      <c r="BT21" s="91">
        <f t="shared" si="37"/>
        <v>411.14</v>
      </c>
      <c r="BU21" s="97">
        <f t="shared" si="38"/>
        <v>1640753.695513801</v>
      </c>
      <c r="BV21" s="10"/>
      <c r="BW21" s="116">
        <f>VLOOKUP(A21,'EYSFF Universal Hrs'!$A$159:$W$216,23,0)</f>
        <v>355501.0619283215</v>
      </c>
      <c r="BX21" s="385">
        <f>VLOOKUP(A21,'EYSFF Extended Hrs'!$A$115:$W$172,11,0)</f>
        <v>0</v>
      </c>
      <c r="BY21" s="23"/>
      <c r="BZ21" s="23"/>
      <c r="CA21" s="225">
        <f>VLOOKUP(A21,'Top Up SEN'!A:E,5,0)</f>
        <v>48542</v>
      </c>
      <c r="CB21" s="225">
        <f>VLOOKUP(A21,'2% threshold'!A:H,8,0)</f>
        <v>0</v>
      </c>
      <c r="CC21" s="212"/>
      <c r="CD21" s="433">
        <f>VLOOKUP(A21,'[4]Pupil Premuim'!$B:$G,6,0)</f>
        <v>83160</v>
      </c>
      <c r="CE21" s="433">
        <v>0</v>
      </c>
      <c r="CF21" s="433">
        <v>0</v>
      </c>
      <c r="CG21" s="433">
        <f>VLOOKUP(A21,'[4]PE+Sports'!$B$5:$P$54,15,0)</f>
        <v>18220</v>
      </c>
      <c r="CH21" s="433">
        <f>VLOOKUP(A21,'[4]UIFSM'!$B$5:$K$43,10,0)</f>
        <v>88711</v>
      </c>
      <c r="CI21" s="433"/>
      <c r="CJ21" s="433"/>
      <c r="CK21" s="433"/>
    </row>
    <row r="22" spans="1:89" ht="15">
      <c r="A22" s="37">
        <v>2038</v>
      </c>
      <c r="B22" s="10" t="s">
        <v>17</v>
      </c>
      <c r="C22" s="251">
        <v>361</v>
      </c>
      <c r="D22" s="254">
        <v>361</v>
      </c>
      <c r="E22" s="254">
        <v>0</v>
      </c>
      <c r="F22" s="254">
        <v>0</v>
      </c>
      <c r="G22" s="238">
        <v>0</v>
      </c>
      <c r="H22" s="254">
        <v>57.15833333333333</v>
      </c>
      <c r="I22" s="238">
        <v>0</v>
      </c>
      <c r="J22" s="254">
        <v>6.0000000000000195</v>
      </c>
      <c r="K22" s="238">
        <v>13.00000000000001</v>
      </c>
      <c r="L22" s="254">
        <v>6.0000000000000195</v>
      </c>
      <c r="M22" s="238">
        <v>0</v>
      </c>
      <c r="N22" s="254">
        <v>0</v>
      </c>
      <c r="O22" s="238">
        <v>0</v>
      </c>
      <c r="P22" s="254">
        <v>0</v>
      </c>
      <c r="Q22" s="238">
        <v>0</v>
      </c>
      <c r="R22" s="254">
        <v>0</v>
      </c>
      <c r="S22" s="254">
        <v>0</v>
      </c>
      <c r="T22" s="238">
        <v>0</v>
      </c>
      <c r="U22" s="254">
        <v>0</v>
      </c>
      <c r="V22" s="238">
        <v>14.999999999999993</v>
      </c>
      <c r="W22" s="254">
        <v>0</v>
      </c>
      <c r="X22" s="248">
        <v>48.352050757575796</v>
      </c>
      <c r="Y22" s="248">
        <v>0</v>
      </c>
      <c r="Z22" s="248">
        <v>0</v>
      </c>
      <c r="AA22" s="241">
        <v>0</v>
      </c>
      <c r="AB22" s="58">
        <f t="shared" si="1"/>
        <v>1148526.5526034364</v>
      </c>
      <c r="AC22" s="59">
        <f t="shared" si="2"/>
        <v>0</v>
      </c>
      <c r="AD22" s="59">
        <f t="shared" si="3"/>
        <v>0</v>
      </c>
      <c r="AE22" s="59">
        <f t="shared" si="4"/>
        <v>57034.871333333336</v>
      </c>
      <c r="AF22" s="59">
        <f t="shared" si="5"/>
        <v>0</v>
      </c>
      <c r="AG22" s="59">
        <f t="shared" si="6"/>
        <v>390.6000000000012</v>
      </c>
      <c r="AH22" s="59">
        <f t="shared" si="7"/>
        <v>1692.6000000000013</v>
      </c>
      <c r="AI22" s="59">
        <f t="shared" si="8"/>
        <v>1171.8000000000038</v>
      </c>
      <c r="AJ22" s="59">
        <f t="shared" si="9"/>
        <v>0</v>
      </c>
      <c r="AK22" s="59">
        <f t="shared" si="10"/>
        <v>0</v>
      </c>
      <c r="AL22" s="59">
        <f t="shared" si="11"/>
        <v>0</v>
      </c>
      <c r="AM22" s="59">
        <f t="shared" si="12"/>
        <v>0</v>
      </c>
      <c r="AN22" s="59">
        <f t="shared" si="13"/>
        <v>0</v>
      </c>
      <c r="AO22" s="59">
        <f t="shared" si="14"/>
        <v>0</v>
      </c>
      <c r="AP22" s="59">
        <f t="shared" si="15"/>
        <v>0</v>
      </c>
      <c r="AQ22" s="59">
        <f t="shared" si="16"/>
        <v>0</v>
      </c>
      <c r="AR22" s="256">
        <f t="shared" si="17"/>
        <v>0</v>
      </c>
      <c r="AS22" s="245">
        <f t="shared" si="18"/>
        <v>11086.199999999995</v>
      </c>
      <c r="AT22" s="254">
        <f t="shared" si="19"/>
        <v>0</v>
      </c>
      <c r="AU22" s="236">
        <f t="shared" si="20"/>
        <v>53187.25583333337</v>
      </c>
      <c r="AV22" s="59">
        <f t="shared" si="21"/>
        <v>0</v>
      </c>
      <c r="AW22" s="59">
        <f t="shared" si="22"/>
        <v>0</v>
      </c>
      <c r="AX22" s="59">
        <f t="shared" si="23"/>
        <v>0</v>
      </c>
      <c r="AY22" s="256">
        <v>140000</v>
      </c>
      <c r="AZ22" s="258">
        <v>27750</v>
      </c>
      <c r="BA22" s="258">
        <v>1567.53</v>
      </c>
      <c r="BB22" s="236"/>
      <c r="BC22" s="59"/>
      <c r="BD22" s="60">
        <v>0</v>
      </c>
      <c r="BE22" s="58">
        <f t="shared" si="24"/>
        <v>1148526.5526034364</v>
      </c>
      <c r="BF22" s="59">
        <f t="shared" si="25"/>
        <v>124563.3271666667</v>
      </c>
      <c r="BG22" s="59">
        <f t="shared" si="26"/>
        <v>169317.53</v>
      </c>
      <c r="BH22" s="60">
        <f t="shared" si="27"/>
        <v>53187.25583333337</v>
      </c>
      <c r="BI22" s="34">
        <f t="shared" si="28"/>
        <v>1442407.4097701032</v>
      </c>
      <c r="BJ22" s="59">
        <f t="shared" si="29"/>
        <v>1442407.4097701032</v>
      </c>
      <c r="BK22" s="60">
        <f t="shared" si="30"/>
        <v>0</v>
      </c>
      <c r="BL22" s="58">
        <f t="shared" si="31"/>
        <v>1273089.8797701031</v>
      </c>
      <c r="BM22" s="59">
        <v>3526.564763906103</v>
      </c>
      <c r="BN22" s="59">
        <v>3404.795570949721</v>
      </c>
      <c r="BO22" s="33">
        <f t="shared" si="32"/>
        <v>0.035764024717177434</v>
      </c>
      <c r="BP22" s="204">
        <f t="shared" si="33"/>
        <v>0</v>
      </c>
      <c r="BQ22" s="60">
        <f t="shared" si="34"/>
        <v>0</v>
      </c>
      <c r="BR22" s="205">
        <f t="shared" si="35"/>
        <v>1442407.4097701032</v>
      </c>
      <c r="BS22" s="91">
        <f t="shared" si="36"/>
        <v>0</v>
      </c>
      <c r="BT22" s="91">
        <f t="shared" si="37"/>
        <v>440.42</v>
      </c>
      <c r="BU22" s="97">
        <f t="shared" si="38"/>
        <v>1441966.9897701032</v>
      </c>
      <c r="BV22" s="10"/>
      <c r="BW22" s="116"/>
      <c r="BX22" s="385"/>
      <c r="BY22" s="23"/>
      <c r="BZ22" s="23"/>
      <c r="CA22" s="225">
        <f>VLOOKUP(A22,'Top Up SEN'!A:E,5,0)</f>
        <v>44416</v>
      </c>
      <c r="CB22" s="225">
        <f>VLOOKUP(A22,'2% threshold'!A:H,8,0)</f>
        <v>0</v>
      </c>
      <c r="CC22" s="212"/>
      <c r="CD22" s="433">
        <f>VLOOKUP(A22,'[4]Pupil Premuim'!$B:$G,6,0)</f>
        <v>75240</v>
      </c>
      <c r="CE22" s="433">
        <f>VLOOKUP(A22,'[4]Pupil Premuim'!$K:$P,6,0)</f>
        <v>300</v>
      </c>
      <c r="CF22" s="433">
        <f>VLOOKUP(A22,'[4]Pupil Premuim'!$T:$Z,7,0)</f>
        <v>2300</v>
      </c>
      <c r="CG22" s="433">
        <f>VLOOKUP(A22,'[4]PE+Sports'!$B$5:$P$54,15,0)</f>
        <v>19610</v>
      </c>
      <c r="CH22" s="433"/>
      <c r="CI22" s="433"/>
      <c r="CJ22" s="433"/>
      <c r="CK22" s="433"/>
    </row>
    <row r="23" spans="1:89" ht="15">
      <c r="A23" s="37">
        <v>2039</v>
      </c>
      <c r="B23" s="10" t="s">
        <v>18</v>
      </c>
      <c r="C23" s="251">
        <v>270</v>
      </c>
      <c r="D23" s="254">
        <v>270</v>
      </c>
      <c r="E23" s="254">
        <v>0</v>
      </c>
      <c r="F23" s="254">
        <v>0</v>
      </c>
      <c r="G23" s="238">
        <v>0</v>
      </c>
      <c r="H23" s="254">
        <v>24</v>
      </c>
      <c r="I23" s="238">
        <v>0</v>
      </c>
      <c r="J23" s="254">
        <v>3.999999999999996</v>
      </c>
      <c r="K23" s="238">
        <v>10.99999999999999</v>
      </c>
      <c r="L23" s="254">
        <v>2.999999999999997</v>
      </c>
      <c r="M23" s="238">
        <v>0</v>
      </c>
      <c r="N23" s="254">
        <v>0</v>
      </c>
      <c r="O23" s="238">
        <v>0</v>
      </c>
      <c r="P23" s="254">
        <v>0</v>
      </c>
      <c r="Q23" s="238">
        <v>0</v>
      </c>
      <c r="R23" s="254">
        <v>0</v>
      </c>
      <c r="S23" s="254">
        <v>0</v>
      </c>
      <c r="T23" s="238">
        <v>0</v>
      </c>
      <c r="U23" s="254">
        <v>0</v>
      </c>
      <c r="V23" s="238">
        <v>69.00000000000011</v>
      </c>
      <c r="W23" s="254">
        <v>0</v>
      </c>
      <c r="X23" s="248">
        <v>24.013499999999947</v>
      </c>
      <c r="Y23" s="248">
        <v>0</v>
      </c>
      <c r="Z23" s="248">
        <v>0</v>
      </c>
      <c r="AA23" s="241">
        <v>0</v>
      </c>
      <c r="AB23" s="58">
        <f t="shared" si="1"/>
        <v>859008.7789554788</v>
      </c>
      <c r="AC23" s="59">
        <f t="shared" si="2"/>
        <v>0</v>
      </c>
      <c r="AD23" s="59">
        <f t="shared" si="3"/>
        <v>0</v>
      </c>
      <c r="AE23" s="59">
        <f t="shared" si="4"/>
        <v>23948.16</v>
      </c>
      <c r="AF23" s="59">
        <f t="shared" si="5"/>
        <v>0</v>
      </c>
      <c r="AG23" s="59">
        <f t="shared" si="6"/>
        <v>260.3999999999997</v>
      </c>
      <c r="AH23" s="59">
        <f t="shared" si="7"/>
        <v>1432.1999999999985</v>
      </c>
      <c r="AI23" s="59">
        <f t="shared" si="8"/>
        <v>585.8999999999994</v>
      </c>
      <c r="AJ23" s="59">
        <f t="shared" si="9"/>
        <v>0</v>
      </c>
      <c r="AK23" s="59">
        <f t="shared" si="10"/>
        <v>0</v>
      </c>
      <c r="AL23" s="59">
        <f t="shared" si="11"/>
        <v>0</v>
      </c>
      <c r="AM23" s="59">
        <f t="shared" si="12"/>
        <v>0</v>
      </c>
      <c r="AN23" s="59">
        <f t="shared" si="13"/>
        <v>0</v>
      </c>
      <c r="AO23" s="59">
        <f t="shared" si="14"/>
        <v>0</v>
      </c>
      <c r="AP23" s="59">
        <f t="shared" si="15"/>
        <v>0</v>
      </c>
      <c r="AQ23" s="59">
        <f t="shared" si="16"/>
        <v>0</v>
      </c>
      <c r="AR23" s="256">
        <f t="shared" si="17"/>
        <v>0</v>
      </c>
      <c r="AS23" s="245">
        <f t="shared" si="18"/>
        <v>50996.520000000084</v>
      </c>
      <c r="AT23" s="254">
        <f t="shared" si="19"/>
        <v>0</v>
      </c>
      <c r="AU23" s="236">
        <f t="shared" si="20"/>
        <v>26414.84999999994</v>
      </c>
      <c r="AV23" s="59">
        <f t="shared" si="21"/>
        <v>0</v>
      </c>
      <c r="AW23" s="59">
        <f t="shared" si="22"/>
        <v>0</v>
      </c>
      <c r="AX23" s="59">
        <f t="shared" si="23"/>
        <v>0</v>
      </c>
      <c r="AY23" s="256">
        <v>140000</v>
      </c>
      <c r="AZ23" s="258">
        <v>27750</v>
      </c>
      <c r="BA23" s="258">
        <v>1567.53</v>
      </c>
      <c r="BB23" s="236"/>
      <c r="BC23" s="59"/>
      <c r="BD23" s="60">
        <v>0</v>
      </c>
      <c r="BE23" s="58">
        <f t="shared" si="24"/>
        <v>859008.7789554788</v>
      </c>
      <c r="BF23" s="59">
        <f t="shared" si="25"/>
        <v>103638.03000000003</v>
      </c>
      <c r="BG23" s="59">
        <f t="shared" si="26"/>
        <v>169317.53</v>
      </c>
      <c r="BH23" s="60">
        <f t="shared" si="27"/>
        <v>26414.84999999994</v>
      </c>
      <c r="BI23" s="34">
        <f t="shared" si="28"/>
        <v>1131964.3389554787</v>
      </c>
      <c r="BJ23" s="59">
        <f t="shared" si="29"/>
        <v>1131964.3389554787</v>
      </c>
      <c r="BK23" s="60">
        <f t="shared" si="30"/>
        <v>0</v>
      </c>
      <c r="BL23" s="58">
        <f t="shared" si="31"/>
        <v>962646.8089554787</v>
      </c>
      <c r="BM23" s="59">
        <v>3565.358551686958</v>
      </c>
      <c r="BN23" s="59">
        <v>3477.9441240740744</v>
      </c>
      <c r="BO23" s="33">
        <f t="shared" si="32"/>
        <v>0.025133936743781296</v>
      </c>
      <c r="BP23" s="204">
        <f t="shared" si="33"/>
        <v>0</v>
      </c>
      <c r="BQ23" s="60">
        <f t="shared" si="34"/>
        <v>0</v>
      </c>
      <c r="BR23" s="205">
        <f t="shared" si="35"/>
        <v>1131964.3389554787</v>
      </c>
      <c r="BS23" s="91">
        <f t="shared" si="36"/>
        <v>0</v>
      </c>
      <c r="BT23" s="91">
        <f t="shared" si="37"/>
        <v>329.4</v>
      </c>
      <c r="BU23" s="97">
        <f t="shared" si="38"/>
        <v>1131634.9389554788</v>
      </c>
      <c r="BV23" s="10"/>
      <c r="BW23" s="116">
        <f>VLOOKUP(A23,'EYSFF Universal Hrs'!$A$159:$W$216,23,0)</f>
        <v>191095.46678108312</v>
      </c>
      <c r="BX23" s="385">
        <f>VLOOKUP(A23,'EYSFF Extended Hrs'!$A$115:$W$172,11,0)</f>
        <v>0</v>
      </c>
      <c r="BY23" s="23"/>
      <c r="BZ23" s="23"/>
      <c r="CA23" s="225">
        <f>VLOOKUP(A23,'Top Up SEN'!A:E,5,0)</f>
        <v>29826</v>
      </c>
      <c r="CB23" s="225">
        <f>VLOOKUP(A23,'2% threshold'!A:H,8,0)</f>
        <v>0</v>
      </c>
      <c r="CC23" s="212"/>
      <c r="CD23" s="433">
        <f>VLOOKUP(A23,'[4]Pupil Premuim'!$B:$G,6,0)</f>
        <v>31680</v>
      </c>
      <c r="CE23" s="433">
        <v>0</v>
      </c>
      <c r="CF23" s="433">
        <f>VLOOKUP(A23,'[4]Pupil Premuim'!$T:$Z,7,0)</f>
        <v>4600</v>
      </c>
      <c r="CG23" s="433">
        <f>VLOOKUP(A23,'[4]PE+Sports'!$B$5:$P$54,15,0)</f>
        <v>17800</v>
      </c>
      <c r="CH23" s="433">
        <f>VLOOKUP(A23,'[4]UIFSM'!$B$5:$K$43,10,0)</f>
        <v>104880</v>
      </c>
      <c r="CI23" s="433"/>
      <c r="CJ23" s="433"/>
      <c r="CK23" s="433"/>
    </row>
    <row r="24" spans="1:89" ht="15">
      <c r="A24" s="37">
        <v>2052</v>
      </c>
      <c r="B24" s="115" t="s">
        <v>20</v>
      </c>
      <c r="C24" s="251">
        <v>405</v>
      </c>
      <c r="D24" s="254">
        <v>405</v>
      </c>
      <c r="E24" s="254">
        <v>0</v>
      </c>
      <c r="F24" s="254">
        <v>0</v>
      </c>
      <c r="G24" s="238">
        <v>0</v>
      </c>
      <c r="H24" s="254">
        <v>121.30434782608695</v>
      </c>
      <c r="I24" s="238">
        <v>0</v>
      </c>
      <c r="J24" s="254">
        <v>73.99999999999997</v>
      </c>
      <c r="K24" s="238">
        <v>134.99999999999986</v>
      </c>
      <c r="L24" s="254">
        <v>56.00000000000016</v>
      </c>
      <c r="M24" s="238">
        <v>8.999999999999991</v>
      </c>
      <c r="N24" s="254">
        <v>1.0000000000000018</v>
      </c>
      <c r="O24" s="238">
        <v>0</v>
      </c>
      <c r="P24" s="254">
        <v>0</v>
      </c>
      <c r="Q24" s="238">
        <v>0</v>
      </c>
      <c r="R24" s="254">
        <v>0</v>
      </c>
      <c r="S24" s="254">
        <v>0</v>
      </c>
      <c r="T24" s="238">
        <v>0</v>
      </c>
      <c r="U24" s="254">
        <v>0</v>
      </c>
      <c r="V24" s="238">
        <v>89.22029702970285</v>
      </c>
      <c r="W24" s="254">
        <v>0</v>
      </c>
      <c r="X24" s="248">
        <v>117.29586740740744</v>
      </c>
      <c r="Y24" s="248">
        <v>0</v>
      </c>
      <c r="Z24" s="248">
        <v>5.499999999999897</v>
      </c>
      <c r="AA24" s="241">
        <v>0</v>
      </c>
      <c r="AB24" s="58">
        <f t="shared" si="1"/>
        <v>1288513.1684332183</v>
      </c>
      <c r="AC24" s="59">
        <f t="shared" si="2"/>
        <v>0</v>
      </c>
      <c r="AD24" s="59">
        <f t="shared" si="3"/>
        <v>0</v>
      </c>
      <c r="AE24" s="59">
        <f t="shared" si="4"/>
        <v>121042.3304347826</v>
      </c>
      <c r="AF24" s="59">
        <f t="shared" si="5"/>
        <v>0</v>
      </c>
      <c r="AG24" s="59">
        <f t="shared" si="6"/>
        <v>4817.399999999998</v>
      </c>
      <c r="AH24" s="59">
        <f t="shared" si="7"/>
        <v>17576.999999999978</v>
      </c>
      <c r="AI24" s="59">
        <f t="shared" si="8"/>
        <v>10936.800000000032</v>
      </c>
      <c r="AJ24" s="59">
        <f t="shared" si="9"/>
        <v>2343.5999999999976</v>
      </c>
      <c r="AK24" s="59">
        <f t="shared" si="10"/>
        <v>325.50000000000057</v>
      </c>
      <c r="AL24" s="59">
        <f t="shared" si="11"/>
        <v>0</v>
      </c>
      <c r="AM24" s="59">
        <f t="shared" si="12"/>
        <v>0</v>
      </c>
      <c r="AN24" s="59">
        <f t="shared" si="13"/>
        <v>0</v>
      </c>
      <c r="AO24" s="59">
        <f t="shared" si="14"/>
        <v>0</v>
      </c>
      <c r="AP24" s="59">
        <f t="shared" si="15"/>
        <v>0</v>
      </c>
      <c r="AQ24" s="59">
        <f t="shared" si="16"/>
        <v>0</v>
      </c>
      <c r="AR24" s="256">
        <f t="shared" si="17"/>
        <v>0</v>
      </c>
      <c r="AS24" s="245">
        <f t="shared" si="18"/>
        <v>65940.93712871279</v>
      </c>
      <c r="AT24" s="254">
        <f t="shared" si="19"/>
        <v>0</v>
      </c>
      <c r="AU24" s="236">
        <f t="shared" si="20"/>
        <v>129025.45414814819</v>
      </c>
      <c r="AV24" s="59">
        <f t="shared" si="21"/>
        <v>0</v>
      </c>
      <c r="AW24" s="59">
        <f t="shared" si="22"/>
        <v>4399.999999999917</v>
      </c>
      <c r="AX24" s="59">
        <f t="shared" si="23"/>
        <v>0</v>
      </c>
      <c r="AY24" s="256">
        <v>140000</v>
      </c>
      <c r="AZ24" s="258">
        <v>41250</v>
      </c>
      <c r="BA24" s="258">
        <v>11388.55</v>
      </c>
      <c r="BB24" s="236"/>
      <c r="BC24" s="59"/>
      <c r="BD24" s="60">
        <v>0</v>
      </c>
      <c r="BE24" s="58">
        <f t="shared" si="24"/>
        <v>1288513.1684332183</v>
      </c>
      <c r="BF24" s="59">
        <f t="shared" si="25"/>
        <v>356409.02171164355</v>
      </c>
      <c r="BG24" s="59">
        <f t="shared" si="26"/>
        <v>192638.55</v>
      </c>
      <c r="BH24" s="60">
        <f t="shared" si="27"/>
        <v>129025.45414814819</v>
      </c>
      <c r="BI24" s="34">
        <f t="shared" si="28"/>
        <v>1837560.7401448619</v>
      </c>
      <c r="BJ24" s="59">
        <f t="shared" si="29"/>
        <v>1837560.7401448619</v>
      </c>
      <c r="BK24" s="60">
        <f t="shared" si="30"/>
        <v>0</v>
      </c>
      <c r="BL24" s="58">
        <f t="shared" si="31"/>
        <v>1644922.1901448618</v>
      </c>
      <c r="BM24" s="59">
        <v>4061.536255486696</v>
      </c>
      <c r="BN24" s="59">
        <v>3896.1269102941174</v>
      </c>
      <c r="BO24" s="33">
        <f t="shared" si="32"/>
        <v>0.042454814486546595</v>
      </c>
      <c r="BP24" s="204">
        <f t="shared" si="33"/>
        <v>0</v>
      </c>
      <c r="BQ24" s="60">
        <f t="shared" si="34"/>
        <v>0</v>
      </c>
      <c r="BR24" s="205">
        <f t="shared" si="35"/>
        <v>1837560.7401448619</v>
      </c>
      <c r="BS24" s="91">
        <f t="shared" si="36"/>
        <v>0</v>
      </c>
      <c r="BT24" s="91">
        <f t="shared" si="37"/>
        <v>494.09999999999997</v>
      </c>
      <c r="BU24" s="97">
        <f t="shared" si="38"/>
        <v>1837066.6401448618</v>
      </c>
      <c r="BV24" s="10"/>
      <c r="BW24" s="116"/>
      <c r="BX24" s="385"/>
      <c r="BY24" s="23">
        <v>63160</v>
      </c>
      <c r="BZ24" s="23"/>
      <c r="CA24" s="225">
        <f>VLOOKUP(A24,'Top Up SEN'!A:E,5,0)</f>
        <v>50044</v>
      </c>
      <c r="CB24" s="225">
        <f>VLOOKUP(A24,'2% threshold'!A:H,8,0)</f>
        <v>30000</v>
      </c>
      <c r="CC24" s="212"/>
      <c r="CD24" s="433">
        <f>VLOOKUP(A24,'[4]Pupil Premuim'!$B:$G,6,0)</f>
        <v>163680</v>
      </c>
      <c r="CE24" s="433">
        <f>VLOOKUP(A24,'[4]Pupil Premuim'!$K:$P,6,0)</f>
        <v>2400</v>
      </c>
      <c r="CF24" s="433">
        <v>0</v>
      </c>
      <c r="CG24" s="433">
        <f>VLOOKUP(A24,'[4]PE+Sports'!$B$5:$P$54,15,0)</f>
        <v>20050</v>
      </c>
      <c r="CH24" s="433"/>
      <c r="CI24" s="433"/>
      <c r="CJ24" s="433"/>
      <c r="CK24" s="433"/>
    </row>
    <row r="25" spans="1:89" ht="15">
      <c r="A25" s="37">
        <v>2054</v>
      </c>
      <c r="B25" s="10" t="s">
        <v>21</v>
      </c>
      <c r="C25" s="251">
        <v>350</v>
      </c>
      <c r="D25" s="254">
        <v>350</v>
      </c>
      <c r="E25" s="254">
        <v>0</v>
      </c>
      <c r="F25" s="254">
        <v>0</v>
      </c>
      <c r="G25" s="238">
        <v>0</v>
      </c>
      <c r="H25" s="254">
        <v>27.762039660056658</v>
      </c>
      <c r="I25" s="238">
        <v>0</v>
      </c>
      <c r="J25" s="254">
        <v>68.19484240687684</v>
      </c>
      <c r="K25" s="238">
        <v>9.025787965616031</v>
      </c>
      <c r="L25" s="254">
        <v>2.0057306590257893</v>
      </c>
      <c r="M25" s="238">
        <v>0</v>
      </c>
      <c r="N25" s="254">
        <v>1.002865329512893</v>
      </c>
      <c r="O25" s="238">
        <v>0</v>
      </c>
      <c r="P25" s="254">
        <v>0</v>
      </c>
      <c r="Q25" s="238">
        <v>0</v>
      </c>
      <c r="R25" s="254">
        <v>0</v>
      </c>
      <c r="S25" s="254">
        <v>0</v>
      </c>
      <c r="T25" s="238">
        <v>0</v>
      </c>
      <c r="U25" s="254">
        <v>0</v>
      </c>
      <c r="V25" s="238">
        <v>25.071633237822358</v>
      </c>
      <c r="W25" s="254">
        <v>0</v>
      </c>
      <c r="X25" s="248">
        <v>35.84943574962769</v>
      </c>
      <c r="Y25" s="248">
        <v>0</v>
      </c>
      <c r="Z25" s="248">
        <v>0</v>
      </c>
      <c r="AA25" s="241">
        <v>0</v>
      </c>
      <c r="AB25" s="58">
        <f t="shared" si="1"/>
        <v>1113529.898645991</v>
      </c>
      <c r="AC25" s="59">
        <f t="shared" si="2"/>
        <v>0</v>
      </c>
      <c r="AD25" s="59">
        <f t="shared" si="3"/>
        <v>0</v>
      </c>
      <c r="AE25" s="59">
        <f t="shared" si="4"/>
        <v>27702.073654390937</v>
      </c>
      <c r="AF25" s="59">
        <f t="shared" si="5"/>
        <v>0</v>
      </c>
      <c r="AG25" s="59">
        <f t="shared" si="6"/>
        <v>4439.484240687682</v>
      </c>
      <c r="AH25" s="59">
        <f t="shared" si="7"/>
        <v>1175.157593123207</v>
      </c>
      <c r="AI25" s="59">
        <f t="shared" si="8"/>
        <v>391.71919770773667</v>
      </c>
      <c r="AJ25" s="59">
        <f t="shared" si="9"/>
        <v>0</v>
      </c>
      <c r="AK25" s="59">
        <f t="shared" si="10"/>
        <v>326.4326647564467</v>
      </c>
      <c r="AL25" s="59">
        <f t="shared" si="11"/>
        <v>0</v>
      </c>
      <c r="AM25" s="59">
        <f t="shared" si="12"/>
        <v>0</v>
      </c>
      <c r="AN25" s="59">
        <f t="shared" si="13"/>
        <v>0</v>
      </c>
      <c r="AO25" s="59">
        <f t="shared" si="14"/>
        <v>0</v>
      </c>
      <c r="AP25" s="59">
        <f t="shared" si="15"/>
        <v>0</v>
      </c>
      <c r="AQ25" s="59">
        <f t="shared" si="16"/>
        <v>0</v>
      </c>
      <c r="AR25" s="256">
        <f t="shared" si="17"/>
        <v>0</v>
      </c>
      <c r="AS25" s="245">
        <f t="shared" si="18"/>
        <v>18529.94269340975</v>
      </c>
      <c r="AT25" s="254">
        <f t="shared" si="19"/>
        <v>0</v>
      </c>
      <c r="AU25" s="236">
        <f t="shared" si="20"/>
        <v>39434.37932459046</v>
      </c>
      <c r="AV25" s="59">
        <f t="shared" si="21"/>
        <v>0</v>
      </c>
      <c r="AW25" s="59">
        <f t="shared" si="22"/>
        <v>0</v>
      </c>
      <c r="AX25" s="59">
        <f t="shared" si="23"/>
        <v>0</v>
      </c>
      <c r="AY25" s="256">
        <v>140000</v>
      </c>
      <c r="AZ25" s="258">
        <v>29500</v>
      </c>
      <c r="BA25" s="258">
        <v>7857.57</v>
      </c>
      <c r="BB25" s="236"/>
      <c r="BC25" s="59"/>
      <c r="BD25" s="60">
        <v>0</v>
      </c>
      <c r="BE25" s="58">
        <f t="shared" si="24"/>
        <v>1113529.898645991</v>
      </c>
      <c r="BF25" s="59">
        <f t="shared" si="25"/>
        <v>91999.18936866621</v>
      </c>
      <c r="BG25" s="59">
        <f t="shared" si="26"/>
        <v>177357.57</v>
      </c>
      <c r="BH25" s="60">
        <f t="shared" si="27"/>
        <v>39434.37932459046</v>
      </c>
      <c r="BI25" s="34">
        <f t="shared" si="28"/>
        <v>1382886.6580146572</v>
      </c>
      <c r="BJ25" s="59">
        <f t="shared" si="29"/>
        <v>1382886.6580146572</v>
      </c>
      <c r="BK25" s="60">
        <f t="shared" si="30"/>
        <v>0</v>
      </c>
      <c r="BL25" s="58">
        <f t="shared" si="31"/>
        <v>1205529.0880146571</v>
      </c>
      <c r="BM25" s="59">
        <v>3444.3688205673584</v>
      </c>
      <c r="BN25" s="59">
        <v>3324.163681896552</v>
      </c>
      <c r="BO25" s="33">
        <f t="shared" si="32"/>
        <v>0.03616101677707549</v>
      </c>
      <c r="BP25" s="204">
        <f t="shared" si="33"/>
        <v>0</v>
      </c>
      <c r="BQ25" s="60">
        <f t="shared" si="34"/>
        <v>0</v>
      </c>
      <c r="BR25" s="205">
        <f t="shared" si="35"/>
        <v>1382886.6580146572</v>
      </c>
      <c r="BS25" s="91">
        <f t="shared" si="36"/>
        <v>0</v>
      </c>
      <c r="BT25" s="91">
        <f t="shared" si="37"/>
        <v>427</v>
      </c>
      <c r="BU25" s="97">
        <f t="shared" si="38"/>
        <v>1382459.6580146572</v>
      </c>
      <c r="BV25" s="10"/>
      <c r="BW25" s="116"/>
      <c r="BX25" s="385"/>
      <c r="BY25" s="23"/>
      <c r="BZ25" s="23"/>
      <c r="CA25" s="225">
        <f>VLOOKUP(A25,'Top Up SEN'!A:E,5,0)</f>
        <v>35659</v>
      </c>
      <c r="CB25" s="225">
        <f>VLOOKUP(A25,'2% threshold'!A:H,8,0)</f>
        <v>0</v>
      </c>
      <c r="CC25" s="212"/>
      <c r="CD25" s="433">
        <f>VLOOKUP(A25,'[4]Pupil Premuim'!$B:$G,6,0)</f>
        <v>36960</v>
      </c>
      <c r="CE25" s="433">
        <f>VLOOKUP(A25,'[4]Pupil Premuim'!$K:$P,6,0)</f>
        <v>900</v>
      </c>
      <c r="CF25" s="433">
        <f>VLOOKUP(A25,'[4]Pupil Premuim'!$T:$Z,7,0)</f>
        <v>2300</v>
      </c>
      <c r="CG25" s="433">
        <f>VLOOKUP(A25,'[4]PE+Sports'!$B$5:$P$54,15,0)</f>
        <v>19500</v>
      </c>
      <c r="CH25" s="433"/>
      <c r="CI25" s="433"/>
      <c r="CJ25" s="433"/>
      <c r="CK25" s="433"/>
    </row>
    <row r="26" spans="1:89" ht="15">
      <c r="A26" s="37">
        <v>2059</v>
      </c>
      <c r="B26" s="115" t="s">
        <v>22</v>
      </c>
      <c r="C26" s="251">
        <v>483</v>
      </c>
      <c r="D26" s="254">
        <v>483</v>
      </c>
      <c r="E26" s="254">
        <v>0</v>
      </c>
      <c r="F26" s="254">
        <v>0</v>
      </c>
      <c r="G26" s="238">
        <v>0</v>
      </c>
      <c r="H26" s="254">
        <v>180.4090909090909</v>
      </c>
      <c r="I26" s="238">
        <v>0</v>
      </c>
      <c r="J26" s="254">
        <v>84.17427385892125</v>
      </c>
      <c r="K26" s="238">
        <v>162.3360995850624</v>
      </c>
      <c r="L26" s="254">
        <v>33.06846473029044</v>
      </c>
      <c r="M26" s="238">
        <v>30.062240663900397</v>
      </c>
      <c r="N26" s="254">
        <v>40.08298755186721</v>
      </c>
      <c r="O26" s="238">
        <v>0</v>
      </c>
      <c r="P26" s="254">
        <v>0</v>
      </c>
      <c r="Q26" s="238">
        <v>0</v>
      </c>
      <c r="R26" s="254">
        <v>0</v>
      </c>
      <c r="S26" s="254">
        <v>0</v>
      </c>
      <c r="T26" s="238">
        <v>0</v>
      </c>
      <c r="U26" s="254">
        <v>0</v>
      </c>
      <c r="V26" s="238">
        <v>133.00000000000014</v>
      </c>
      <c r="W26" s="254">
        <v>0</v>
      </c>
      <c r="X26" s="248">
        <v>106.33596688311694</v>
      </c>
      <c r="Y26" s="248">
        <v>0</v>
      </c>
      <c r="Z26" s="248">
        <v>0</v>
      </c>
      <c r="AA26" s="241">
        <v>0</v>
      </c>
      <c r="AB26" s="58">
        <f t="shared" si="1"/>
        <v>1536671.2601314676</v>
      </c>
      <c r="AC26" s="59">
        <f t="shared" si="2"/>
        <v>0</v>
      </c>
      <c r="AD26" s="59">
        <f t="shared" si="3"/>
        <v>0</v>
      </c>
      <c r="AE26" s="59">
        <f t="shared" si="4"/>
        <v>180019.4072727273</v>
      </c>
      <c r="AF26" s="59">
        <f t="shared" si="5"/>
        <v>0</v>
      </c>
      <c r="AG26" s="59">
        <f t="shared" si="6"/>
        <v>5479.745228215773</v>
      </c>
      <c r="AH26" s="59">
        <f t="shared" si="7"/>
        <v>21136.160165975125</v>
      </c>
      <c r="AI26" s="59">
        <f t="shared" si="8"/>
        <v>6458.271161825723</v>
      </c>
      <c r="AJ26" s="59">
        <f t="shared" si="9"/>
        <v>7828.207468879663</v>
      </c>
      <c r="AK26" s="59">
        <f t="shared" si="10"/>
        <v>13047.012448132778</v>
      </c>
      <c r="AL26" s="59">
        <f t="shared" si="11"/>
        <v>0</v>
      </c>
      <c r="AM26" s="59">
        <f t="shared" si="12"/>
        <v>0</v>
      </c>
      <c r="AN26" s="59">
        <f t="shared" si="13"/>
        <v>0</v>
      </c>
      <c r="AO26" s="59">
        <f t="shared" si="14"/>
        <v>0</v>
      </c>
      <c r="AP26" s="59">
        <f t="shared" si="15"/>
        <v>0</v>
      </c>
      <c r="AQ26" s="59">
        <f t="shared" si="16"/>
        <v>0</v>
      </c>
      <c r="AR26" s="256">
        <f t="shared" si="17"/>
        <v>0</v>
      </c>
      <c r="AS26" s="245">
        <f t="shared" si="18"/>
        <v>98297.64000000012</v>
      </c>
      <c r="AT26" s="254">
        <f t="shared" si="19"/>
        <v>0</v>
      </c>
      <c r="AU26" s="236">
        <f t="shared" si="20"/>
        <v>116969.56357142863</v>
      </c>
      <c r="AV26" s="59">
        <f t="shared" si="21"/>
        <v>0</v>
      </c>
      <c r="AW26" s="59">
        <f t="shared" si="22"/>
        <v>0</v>
      </c>
      <c r="AX26" s="59">
        <f t="shared" si="23"/>
        <v>0</v>
      </c>
      <c r="AY26" s="256">
        <v>140000</v>
      </c>
      <c r="AZ26" s="258">
        <v>32500</v>
      </c>
      <c r="BA26" s="258">
        <v>4435</v>
      </c>
      <c r="BB26" s="236"/>
      <c r="BC26" s="59"/>
      <c r="BD26" s="60">
        <v>0</v>
      </c>
      <c r="BE26" s="58">
        <f t="shared" si="24"/>
        <v>1536671.2601314676</v>
      </c>
      <c r="BF26" s="59">
        <f t="shared" si="25"/>
        <v>449236.0073171851</v>
      </c>
      <c r="BG26" s="59">
        <f t="shared" si="26"/>
        <v>176935</v>
      </c>
      <c r="BH26" s="60">
        <f t="shared" si="27"/>
        <v>116969.56357142863</v>
      </c>
      <c r="BI26" s="34">
        <f t="shared" si="28"/>
        <v>2162842.2674486525</v>
      </c>
      <c r="BJ26" s="59">
        <f t="shared" si="29"/>
        <v>2162842.2674486525</v>
      </c>
      <c r="BK26" s="60">
        <f t="shared" si="30"/>
        <v>0</v>
      </c>
      <c r="BL26" s="58">
        <f t="shared" si="31"/>
        <v>1985907.2674486525</v>
      </c>
      <c r="BM26" s="59">
        <v>4111.6091413263</v>
      </c>
      <c r="BN26" s="59">
        <v>4003.088977263582</v>
      </c>
      <c r="BO26" s="33">
        <f t="shared" si="32"/>
        <v>0.027109106162536555</v>
      </c>
      <c r="BP26" s="204">
        <f t="shared" si="33"/>
        <v>0</v>
      </c>
      <c r="BQ26" s="60">
        <f t="shared" si="34"/>
        <v>0</v>
      </c>
      <c r="BR26" s="205">
        <f t="shared" si="35"/>
        <v>2162842.2674486525</v>
      </c>
      <c r="BS26" s="91">
        <f t="shared" si="36"/>
        <v>0</v>
      </c>
      <c r="BT26" s="91">
        <f t="shared" si="37"/>
        <v>589.26</v>
      </c>
      <c r="BU26" s="97">
        <f t="shared" si="38"/>
        <v>2162253.0074486528</v>
      </c>
      <c r="BV26" s="10"/>
      <c r="BW26" s="116"/>
      <c r="BX26" s="385"/>
      <c r="BY26" s="23"/>
      <c r="BZ26" s="23"/>
      <c r="CA26" s="225">
        <f>VLOOKUP(A26,'Top Up SEN'!A:E,5,0)</f>
        <v>46592</v>
      </c>
      <c r="CB26" s="225">
        <f>VLOOKUP(A26,'2% threshold'!A:H,8,0)</f>
        <v>0</v>
      </c>
      <c r="CC26" s="212"/>
      <c r="CD26" s="433">
        <f>VLOOKUP(A26,'[4]Pupil Premuim'!$B:$G,6,0)</f>
        <v>249480</v>
      </c>
      <c r="CE26" s="433">
        <v>0</v>
      </c>
      <c r="CF26" s="433">
        <v>0</v>
      </c>
      <c r="CG26" s="433">
        <f>VLOOKUP(A26,'[4]PE+Sports'!$B$5:$P$54,15,0)</f>
        <v>20830</v>
      </c>
      <c r="CH26" s="433"/>
      <c r="CI26" s="433"/>
      <c r="CJ26" s="433"/>
      <c r="CK26" s="433"/>
    </row>
    <row r="27" spans="1:89" ht="15">
      <c r="A27" s="37">
        <v>2060</v>
      </c>
      <c r="B27" s="115" t="s">
        <v>94</v>
      </c>
      <c r="C27" s="251">
        <v>360</v>
      </c>
      <c r="D27" s="254">
        <v>360</v>
      </c>
      <c r="E27" s="254">
        <v>0</v>
      </c>
      <c r="F27" s="254">
        <v>0</v>
      </c>
      <c r="G27" s="238">
        <v>0</v>
      </c>
      <c r="H27" s="254">
        <v>61.01694915254237</v>
      </c>
      <c r="I27" s="238">
        <v>0</v>
      </c>
      <c r="J27" s="254">
        <v>49.27374301675968</v>
      </c>
      <c r="K27" s="238">
        <v>132.7374301675979</v>
      </c>
      <c r="L27" s="254">
        <v>10.055865921787692</v>
      </c>
      <c r="M27" s="238">
        <v>22.122905027932944</v>
      </c>
      <c r="N27" s="254">
        <v>27.150837988826808</v>
      </c>
      <c r="O27" s="238">
        <v>0</v>
      </c>
      <c r="P27" s="254">
        <v>0</v>
      </c>
      <c r="Q27" s="238">
        <v>0</v>
      </c>
      <c r="R27" s="254">
        <v>0</v>
      </c>
      <c r="S27" s="254">
        <v>0</v>
      </c>
      <c r="T27" s="238">
        <v>0</v>
      </c>
      <c r="U27" s="254">
        <v>0</v>
      </c>
      <c r="V27" s="238">
        <v>335.9999999999999</v>
      </c>
      <c r="W27" s="254">
        <v>0</v>
      </c>
      <c r="X27" s="248">
        <v>40.98932188841194</v>
      </c>
      <c r="Y27" s="248">
        <v>0</v>
      </c>
      <c r="Z27" s="248">
        <v>0</v>
      </c>
      <c r="AA27" s="241">
        <v>0</v>
      </c>
      <c r="AB27" s="58">
        <f t="shared" si="1"/>
        <v>1145345.0386073051</v>
      </c>
      <c r="AC27" s="59">
        <f t="shared" si="2"/>
        <v>0</v>
      </c>
      <c r="AD27" s="59">
        <f t="shared" si="3"/>
        <v>0</v>
      </c>
      <c r="AE27" s="59">
        <f t="shared" si="4"/>
        <v>60885.152542372874</v>
      </c>
      <c r="AF27" s="59">
        <f t="shared" si="5"/>
        <v>0</v>
      </c>
      <c r="AG27" s="59">
        <f t="shared" si="6"/>
        <v>3207.720670391055</v>
      </c>
      <c r="AH27" s="59">
        <f t="shared" si="7"/>
        <v>17282.413407821245</v>
      </c>
      <c r="AI27" s="59">
        <f t="shared" si="8"/>
        <v>1963.9106145251365</v>
      </c>
      <c r="AJ27" s="59">
        <f t="shared" si="9"/>
        <v>5760.8044692737385</v>
      </c>
      <c r="AK27" s="59">
        <f t="shared" si="10"/>
        <v>8837.597765363125</v>
      </c>
      <c r="AL27" s="59">
        <f t="shared" si="11"/>
        <v>0</v>
      </c>
      <c r="AM27" s="59">
        <f t="shared" si="12"/>
        <v>0</v>
      </c>
      <c r="AN27" s="59">
        <f t="shared" si="13"/>
        <v>0</v>
      </c>
      <c r="AO27" s="59">
        <f t="shared" si="14"/>
        <v>0</v>
      </c>
      <c r="AP27" s="59">
        <f t="shared" si="15"/>
        <v>0</v>
      </c>
      <c r="AQ27" s="59">
        <f t="shared" si="16"/>
        <v>0</v>
      </c>
      <c r="AR27" s="256">
        <f t="shared" si="17"/>
        <v>0</v>
      </c>
      <c r="AS27" s="245">
        <f t="shared" si="18"/>
        <v>248330.87999999992</v>
      </c>
      <c r="AT27" s="254">
        <f t="shared" si="19"/>
        <v>0</v>
      </c>
      <c r="AU27" s="236">
        <f t="shared" si="20"/>
        <v>45088.254077253136</v>
      </c>
      <c r="AV27" s="59">
        <f t="shared" si="21"/>
        <v>0</v>
      </c>
      <c r="AW27" s="59">
        <f t="shared" si="22"/>
        <v>0</v>
      </c>
      <c r="AX27" s="59">
        <f t="shared" si="23"/>
        <v>0</v>
      </c>
      <c r="AY27" s="256">
        <v>140000</v>
      </c>
      <c r="AZ27" s="258">
        <v>32500</v>
      </c>
      <c r="BA27" s="258">
        <v>4435</v>
      </c>
      <c r="BB27" s="236"/>
      <c r="BC27" s="59"/>
      <c r="BD27" s="60">
        <v>0</v>
      </c>
      <c r="BE27" s="58">
        <f t="shared" si="24"/>
        <v>1145345.0386073051</v>
      </c>
      <c r="BF27" s="59">
        <f t="shared" si="25"/>
        <v>391356.7335470002</v>
      </c>
      <c r="BG27" s="59">
        <f t="shared" si="26"/>
        <v>176935</v>
      </c>
      <c r="BH27" s="60">
        <f t="shared" si="27"/>
        <v>45088.254077253136</v>
      </c>
      <c r="BI27" s="34">
        <f t="shared" si="28"/>
        <v>1713636.7721543054</v>
      </c>
      <c r="BJ27" s="59">
        <f t="shared" si="29"/>
        <v>1713636.7721543054</v>
      </c>
      <c r="BK27" s="60">
        <f t="shared" si="30"/>
        <v>0</v>
      </c>
      <c r="BL27" s="58">
        <f t="shared" si="31"/>
        <v>1536701.7721543054</v>
      </c>
      <c r="BM27" s="59">
        <v>4268.615932384166</v>
      </c>
      <c r="BN27" s="59">
        <v>4180.862653693182</v>
      </c>
      <c r="BO27" s="33">
        <f t="shared" si="32"/>
        <v>0.020989275649480152</v>
      </c>
      <c r="BP27" s="204">
        <f t="shared" si="33"/>
        <v>0</v>
      </c>
      <c r="BQ27" s="60">
        <f t="shared" si="34"/>
        <v>0</v>
      </c>
      <c r="BR27" s="205">
        <f t="shared" si="35"/>
        <v>1713636.7721543054</v>
      </c>
      <c r="BS27" s="91">
        <f t="shared" si="36"/>
        <v>0</v>
      </c>
      <c r="BT27" s="91">
        <f t="shared" si="37"/>
        <v>439.2</v>
      </c>
      <c r="BU27" s="97">
        <f t="shared" si="38"/>
        <v>1713197.5721543054</v>
      </c>
      <c r="BV27" s="10"/>
      <c r="BW27" s="116">
        <f>VLOOKUP(A27,'EYSFF Universal Hrs'!$A$159:$W$216,23,0)</f>
        <v>319587.43890085205</v>
      </c>
      <c r="BX27" s="385">
        <f>VLOOKUP(A27,'EYSFF Extended Hrs'!$A$115:$W$172,11,0)</f>
        <v>0</v>
      </c>
      <c r="BY27" s="23"/>
      <c r="BZ27" s="23"/>
      <c r="CA27" s="225">
        <f>VLOOKUP(A27,'Top Up SEN'!A:E,5,0)</f>
        <v>23250</v>
      </c>
      <c r="CB27" s="225">
        <f>VLOOKUP(A27,'2% threshold'!A:H,8,0)</f>
        <v>0</v>
      </c>
      <c r="CC27" s="212"/>
      <c r="CD27" s="433">
        <f>VLOOKUP(A27,'[4]Pupil Premuim'!$B:$G,6,0)</f>
        <v>79200</v>
      </c>
      <c r="CE27" s="433">
        <v>0</v>
      </c>
      <c r="CF27" s="433">
        <v>0</v>
      </c>
      <c r="CG27" s="433">
        <f>VLOOKUP(A27,'[4]PE+Sports'!$B$5:$P$54,15,0)</f>
        <v>18400</v>
      </c>
      <c r="CH27" s="433">
        <f>VLOOKUP(A27,'[4]UIFSM'!$B$5:$K$43,10,0)</f>
        <v>134596</v>
      </c>
      <c r="CI27" s="433"/>
      <c r="CJ27" s="433"/>
      <c r="CK27" s="433"/>
    </row>
    <row r="28" spans="1:89" ht="15">
      <c r="A28" s="37">
        <v>2061</v>
      </c>
      <c r="B28" s="115" t="s">
        <v>23</v>
      </c>
      <c r="C28" s="251">
        <v>375</v>
      </c>
      <c r="D28" s="254">
        <v>375</v>
      </c>
      <c r="E28" s="254">
        <v>0</v>
      </c>
      <c r="F28" s="254">
        <v>0</v>
      </c>
      <c r="G28" s="238">
        <v>0</v>
      </c>
      <c r="H28" s="254">
        <v>69.05099150141643</v>
      </c>
      <c r="I28" s="238">
        <v>0</v>
      </c>
      <c r="J28" s="254">
        <v>106.00000000000013</v>
      </c>
      <c r="K28" s="238">
        <v>31.99999999999999</v>
      </c>
      <c r="L28" s="254">
        <v>40.99999999999988</v>
      </c>
      <c r="M28" s="238">
        <v>1.9999999999999987</v>
      </c>
      <c r="N28" s="254">
        <v>0</v>
      </c>
      <c r="O28" s="238">
        <v>0</v>
      </c>
      <c r="P28" s="254">
        <v>0</v>
      </c>
      <c r="Q28" s="238">
        <v>0</v>
      </c>
      <c r="R28" s="254">
        <v>0</v>
      </c>
      <c r="S28" s="254">
        <v>0</v>
      </c>
      <c r="T28" s="238">
        <v>0</v>
      </c>
      <c r="U28" s="254">
        <v>0</v>
      </c>
      <c r="V28" s="238">
        <v>65.06309148264975</v>
      </c>
      <c r="W28" s="254">
        <v>0</v>
      </c>
      <c r="X28" s="248">
        <v>42.15166347880111</v>
      </c>
      <c r="Y28" s="248">
        <v>0</v>
      </c>
      <c r="Z28" s="248">
        <v>12.499999999999872</v>
      </c>
      <c r="AA28" s="241">
        <v>0</v>
      </c>
      <c r="AB28" s="58">
        <f t="shared" si="1"/>
        <v>1193067.748549276</v>
      </c>
      <c r="AC28" s="59">
        <f t="shared" si="2"/>
        <v>0</v>
      </c>
      <c r="AD28" s="59">
        <f t="shared" si="3"/>
        <v>0</v>
      </c>
      <c r="AE28" s="59">
        <f t="shared" si="4"/>
        <v>68901.84135977337</v>
      </c>
      <c r="AF28" s="59">
        <f t="shared" si="5"/>
        <v>0</v>
      </c>
      <c r="AG28" s="59">
        <f t="shared" si="6"/>
        <v>6900.600000000008</v>
      </c>
      <c r="AH28" s="59">
        <f t="shared" si="7"/>
        <v>4166.399999999998</v>
      </c>
      <c r="AI28" s="59">
        <f t="shared" si="8"/>
        <v>8007.2999999999765</v>
      </c>
      <c r="AJ28" s="59">
        <f t="shared" si="9"/>
        <v>520.7999999999996</v>
      </c>
      <c r="AK28" s="59">
        <f t="shared" si="10"/>
        <v>0</v>
      </c>
      <c r="AL28" s="59">
        <f t="shared" si="11"/>
        <v>0</v>
      </c>
      <c r="AM28" s="59">
        <f t="shared" si="12"/>
        <v>0</v>
      </c>
      <c r="AN28" s="59">
        <f t="shared" si="13"/>
        <v>0</v>
      </c>
      <c r="AO28" s="59">
        <f t="shared" si="14"/>
        <v>0</v>
      </c>
      <c r="AP28" s="59">
        <f t="shared" si="15"/>
        <v>0</v>
      </c>
      <c r="AQ28" s="59">
        <f t="shared" si="16"/>
        <v>0</v>
      </c>
      <c r="AR28" s="256">
        <f t="shared" si="17"/>
        <v>0</v>
      </c>
      <c r="AS28" s="245">
        <f t="shared" si="18"/>
        <v>48086.829652996785</v>
      </c>
      <c r="AT28" s="254">
        <f t="shared" si="19"/>
        <v>0</v>
      </c>
      <c r="AU28" s="236">
        <f t="shared" si="20"/>
        <v>46366.82982668122</v>
      </c>
      <c r="AV28" s="59">
        <f t="shared" si="21"/>
        <v>0</v>
      </c>
      <c r="AW28" s="59">
        <f t="shared" si="22"/>
        <v>9999.999999999898</v>
      </c>
      <c r="AX28" s="59">
        <f t="shared" si="23"/>
        <v>0</v>
      </c>
      <c r="AY28" s="256">
        <v>140000</v>
      </c>
      <c r="AZ28" s="258">
        <v>59500</v>
      </c>
      <c r="BA28" s="258">
        <v>633.4499999999971</v>
      </c>
      <c r="BB28" s="236"/>
      <c r="BC28" s="59"/>
      <c r="BD28" s="60">
        <v>0</v>
      </c>
      <c r="BE28" s="58">
        <f t="shared" si="24"/>
        <v>1193067.748549276</v>
      </c>
      <c r="BF28" s="59">
        <f t="shared" si="25"/>
        <v>192950.60083945125</v>
      </c>
      <c r="BG28" s="59">
        <f t="shared" si="26"/>
        <v>200133.45</v>
      </c>
      <c r="BH28" s="60">
        <f t="shared" si="27"/>
        <v>46366.82982668122</v>
      </c>
      <c r="BI28" s="34">
        <f t="shared" si="28"/>
        <v>1586151.7993887272</v>
      </c>
      <c r="BJ28" s="59">
        <f t="shared" si="29"/>
        <v>1586151.7993887272</v>
      </c>
      <c r="BK28" s="60">
        <f t="shared" si="30"/>
        <v>0</v>
      </c>
      <c r="BL28" s="58">
        <f t="shared" si="31"/>
        <v>1386018.3493887272</v>
      </c>
      <c r="BM28" s="59">
        <v>3696.048928231273</v>
      </c>
      <c r="BN28" s="59">
        <v>3625.988203438395</v>
      </c>
      <c r="BO28" s="33">
        <f t="shared" si="32"/>
        <v>0.01932182921236252</v>
      </c>
      <c r="BP28" s="204">
        <f t="shared" si="33"/>
        <v>0</v>
      </c>
      <c r="BQ28" s="60">
        <f t="shared" si="34"/>
        <v>0</v>
      </c>
      <c r="BR28" s="205">
        <f t="shared" si="35"/>
        <v>1586151.7993887272</v>
      </c>
      <c r="BS28" s="91">
        <f t="shared" si="36"/>
        <v>0</v>
      </c>
      <c r="BT28" s="91">
        <f t="shared" si="37"/>
        <v>457.5</v>
      </c>
      <c r="BU28" s="97">
        <f t="shared" si="38"/>
        <v>1585694.2993887272</v>
      </c>
      <c r="BV28" s="10"/>
      <c r="BW28" s="116">
        <f>VLOOKUP(A28,'EYSFF Universal Hrs'!$A$159:$W$216,23,0)</f>
        <v>110846.19214562245</v>
      </c>
      <c r="BX28" s="385">
        <f>VLOOKUP(A28,'EYSFF Extended Hrs'!$A$115:$W$172,11,0)</f>
        <v>0</v>
      </c>
      <c r="BY28" s="23">
        <v>63160</v>
      </c>
      <c r="BZ28" s="23"/>
      <c r="CA28" s="225">
        <f>VLOOKUP(A28,'Top Up SEN'!A:E,5,0)</f>
        <v>14600</v>
      </c>
      <c r="CB28" s="225">
        <f>VLOOKUP(A28,'2% threshold'!A:H,8,0)</f>
        <v>0</v>
      </c>
      <c r="CC28" s="212"/>
      <c r="CD28" s="433">
        <f>VLOOKUP(A28,'[4]Pupil Premuim'!$B:$G,6,0)</f>
        <v>85800</v>
      </c>
      <c r="CE28" s="433">
        <f>VLOOKUP(A28,'[4]Pupil Premuim'!$K:$P,6,0)</f>
        <v>2700</v>
      </c>
      <c r="CF28" s="433">
        <f>VLOOKUP(A28,'[4]Pupil Premuim'!$T:$Z,7,0)</f>
        <v>4600</v>
      </c>
      <c r="CG28" s="433">
        <f>VLOOKUP(A28,'[4]PE+Sports'!$B$5:$P$54,15,0)</f>
        <v>19180</v>
      </c>
      <c r="CH28" s="433">
        <f>VLOOKUP(A28,'[4]UIFSM'!$B$5:$K$43,10,0)</f>
        <v>53314</v>
      </c>
      <c r="CI28" s="433"/>
      <c r="CJ28" s="433"/>
      <c r="CK28" s="433"/>
    </row>
    <row r="29" spans="1:89" ht="15">
      <c r="A29" s="37">
        <v>2063</v>
      </c>
      <c r="B29" s="115" t="s">
        <v>95</v>
      </c>
      <c r="C29" s="251">
        <v>375</v>
      </c>
      <c r="D29" s="254">
        <v>375</v>
      </c>
      <c r="E29" s="254">
        <v>0</v>
      </c>
      <c r="F29" s="254">
        <v>0</v>
      </c>
      <c r="G29" s="238">
        <v>0</v>
      </c>
      <c r="H29" s="254">
        <v>73.77049180327869</v>
      </c>
      <c r="I29" s="238">
        <v>0</v>
      </c>
      <c r="J29" s="254">
        <v>135</v>
      </c>
      <c r="K29" s="238">
        <v>106.99999999999987</v>
      </c>
      <c r="L29" s="254">
        <v>55.99999999999988</v>
      </c>
      <c r="M29" s="238">
        <v>4.999999999999988</v>
      </c>
      <c r="N29" s="254">
        <v>1.0000000000000013</v>
      </c>
      <c r="O29" s="238">
        <v>0</v>
      </c>
      <c r="P29" s="254">
        <v>0</v>
      </c>
      <c r="Q29" s="238">
        <v>0</v>
      </c>
      <c r="R29" s="254">
        <v>0</v>
      </c>
      <c r="S29" s="254">
        <v>0</v>
      </c>
      <c r="T29" s="238">
        <v>0</v>
      </c>
      <c r="U29" s="254">
        <v>0</v>
      </c>
      <c r="V29" s="238">
        <v>96.26865671641801</v>
      </c>
      <c r="W29" s="254">
        <v>0</v>
      </c>
      <c r="X29" s="248">
        <v>59.833740115828135</v>
      </c>
      <c r="Y29" s="248">
        <v>0</v>
      </c>
      <c r="Z29" s="248">
        <v>7.4999999999999964</v>
      </c>
      <c r="AA29" s="241">
        <v>0</v>
      </c>
      <c r="AB29" s="58">
        <f t="shared" si="1"/>
        <v>1193067.748549276</v>
      </c>
      <c r="AC29" s="59">
        <f t="shared" si="2"/>
        <v>0</v>
      </c>
      <c r="AD29" s="59">
        <f t="shared" si="3"/>
        <v>0</v>
      </c>
      <c r="AE29" s="59">
        <f t="shared" si="4"/>
        <v>73611.14754098361</v>
      </c>
      <c r="AF29" s="59">
        <f t="shared" si="5"/>
        <v>0</v>
      </c>
      <c r="AG29" s="59">
        <f t="shared" si="6"/>
        <v>8788.5</v>
      </c>
      <c r="AH29" s="59">
        <f t="shared" si="7"/>
        <v>13931.399999999981</v>
      </c>
      <c r="AI29" s="59">
        <f t="shared" si="8"/>
        <v>10936.799999999977</v>
      </c>
      <c r="AJ29" s="59">
        <f t="shared" si="9"/>
        <v>1301.9999999999966</v>
      </c>
      <c r="AK29" s="59">
        <f t="shared" si="10"/>
        <v>325.50000000000045</v>
      </c>
      <c r="AL29" s="59">
        <f t="shared" si="11"/>
        <v>0</v>
      </c>
      <c r="AM29" s="59">
        <f t="shared" si="12"/>
        <v>0</v>
      </c>
      <c r="AN29" s="59">
        <f t="shared" si="13"/>
        <v>0</v>
      </c>
      <c r="AO29" s="59">
        <f t="shared" si="14"/>
        <v>0</v>
      </c>
      <c r="AP29" s="59">
        <f t="shared" si="15"/>
        <v>0</v>
      </c>
      <c r="AQ29" s="59">
        <f t="shared" si="16"/>
        <v>0</v>
      </c>
      <c r="AR29" s="256">
        <f t="shared" si="17"/>
        <v>0</v>
      </c>
      <c r="AS29" s="245">
        <f t="shared" si="18"/>
        <v>71150.23880597022</v>
      </c>
      <c r="AT29" s="254">
        <f t="shared" si="19"/>
        <v>0</v>
      </c>
      <c r="AU29" s="236">
        <f t="shared" si="20"/>
        <v>65817.11412741095</v>
      </c>
      <c r="AV29" s="59">
        <f t="shared" si="21"/>
        <v>0</v>
      </c>
      <c r="AW29" s="59">
        <f t="shared" si="22"/>
        <v>5999.999999999997</v>
      </c>
      <c r="AX29" s="59">
        <f t="shared" si="23"/>
        <v>0</v>
      </c>
      <c r="AY29" s="256">
        <v>140000</v>
      </c>
      <c r="AZ29" s="258">
        <v>51000</v>
      </c>
      <c r="BA29" s="258">
        <v>12075.150000000001</v>
      </c>
      <c r="BB29" s="236"/>
      <c r="BC29" s="59"/>
      <c r="BD29" s="60">
        <v>0</v>
      </c>
      <c r="BE29" s="58">
        <f t="shared" si="24"/>
        <v>1193067.748549276</v>
      </c>
      <c r="BF29" s="59">
        <f t="shared" si="25"/>
        <v>251862.70047436474</v>
      </c>
      <c r="BG29" s="59">
        <f t="shared" si="26"/>
        <v>203075.15</v>
      </c>
      <c r="BH29" s="60">
        <f t="shared" si="27"/>
        <v>65817.11412741095</v>
      </c>
      <c r="BI29" s="34">
        <f t="shared" si="28"/>
        <v>1648005.5990236406</v>
      </c>
      <c r="BJ29" s="59">
        <f t="shared" si="29"/>
        <v>1648005.5990236406</v>
      </c>
      <c r="BK29" s="60">
        <f t="shared" si="30"/>
        <v>0</v>
      </c>
      <c r="BL29" s="58">
        <f t="shared" si="31"/>
        <v>1444930.4490236407</v>
      </c>
      <c r="BM29" s="59">
        <v>3853.147853213042</v>
      </c>
      <c r="BN29" s="59">
        <v>3848.3394085635364</v>
      </c>
      <c r="BO29" s="33">
        <f t="shared" si="32"/>
        <v>0.00124948559339787</v>
      </c>
      <c r="BP29" s="204">
        <f t="shared" si="33"/>
        <v>0</v>
      </c>
      <c r="BQ29" s="60">
        <f t="shared" si="34"/>
        <v>0</v>
      </c>
      <c r="BR29" s="205">
        <f t="shared" si="35"/>
        <v>1648005.5990236406</v>
      </c>
      <c r="BS29" s="91">
        <f t="shared" si="36"/>
        <v>0</v>
      </c>
      <c r="BT29" s="91">
        <f t="shared" si="37"/>
        <v>457.5</v>
      </c>
      <c r="BU29" s="97">
        <f t="shared" si="38"/>
        <v>1647548.0990236406</v>
      </c>
      <c r="BV29" s="10"/>
      <c r="BW29" s="116">
        <f>VLOOKUP(A29,'EYSFF Universal Hrs'!$A$159:$W$216,23,0)</f>
        <v>54277.902281009345</v>
      </c>
      <c r="BX29" s="385">
        <f>VLOOKUP(A29,'EYSFF Extended Hrs'!$A$115:$W$172,11,0)</f>
        <v>0</v>
      </c>
      <c r="BY29" s="23"/>
      <c r="BZ29" s="23"/>
      <c r="CA29" s="225">
        <f>VLOOKUP(A29,'Top Up SEN'!A:E,5,0)</f>
        <v>18300</v>
      </c>
      <c r="CB29" s="225">
        <f>VLOOKUP(A29,'2% threshold'!A:H,8,0)</f>
        <v>0</v>
      </c>
      <c r="CC29" s="212"/>
      <c r="CD29" s="433">
        <f>VLOOKUP(A29,'[4]Pupil Premuim'!$B:$G,6,0)</f>
        <v>95040</v>
      </c>
      <c r="CE29" s="433">
        <f>VLOOKUP(A29,'[4]Pupil Premuim'!$K:$P,6,0)</f>
        <v>2100</v>
      </c>
      <c r="CF29" s="433">
        <v>0</v>
      </c>
      <c r="CG29" s="433">
        <f>VLOOKUP(A29,'[4]PE+Sports'!$B$5:$P$54,15,0)</f>
        <v>19370</v>
      </c>
      <c r="CH29" s="433">
        <f>VLOOKUP(A29,'[4]UIFSM'!$B$5:$K$43,10,0)</f>
        <v>56373</v>
      </c>
      <c r="CI29" s="433"/>
      <c r="CJ29" s="433"/>
      <c r="CK29" s="433"/>
    </row>
    <row r="30" spans="1:89" ht="15">
      <c r="A30" s="37">
        <v>2064</v>
      </c>
      <c r="B30" s="115" t="s">
        <v>24</v>
      </c>
      <c r="C30" s="251">
        <v>548</v>
      </c>
      <c r="D30" s="254">
        <v>548</v>
      </c>
      <c r="E30" s="254">
        <v>0</v>
      </c>
      <c r="F30" s="254">
        <v>0</v>
      </c>
      <c r="G30" s="238">
        <v>0</v>
      </c>
      <c r="H30" s="254">
        <v>229.40733772342423</v>
      </c>
      <c r="I30" s="238">
        <v>0</v>
      </c>
      <c r="J30" s="254">
        <v>34.99999999999998</v>
      </c>
      <c r="K30" s="238">
        <v>268.99999999999994</v>
      </c>
      <c r="L30" s="254">
        <v>181.00000000000017</v>
      </c>
      <c r="M30" s="238">
        <v>26.999999999999982</v>
      </c>
      <c r="N30" s="254">
        <v>3.0000000000000027</v>
      </c>
      <c r="O30" s="238">
        <v>0</v>
      </c>
      <c r="P30" s="254">
        <v>0</v>
      </c>
      <c r="Q30" s="238">
        <v>0</v>
      </c>
      <c r="R30" s="254">
        <v>0</v>
      </c>
      <c r="S30" s="254">
        <v>0</v>
      </c>
      <c r="T30" s="238">
        <v>0</v>
      </c>
      <c r="U30" s="254">
        <v>0</v>
      </c>
      <c r="V30" s="238">
        <v>171.99134199134207</v>
      </c>
      <c r="W30" s="254">
        <v>0</v>
      </c>
      <c r="X30" s="248">
        <v>102.14080978810657</v>
      </c>
      <c r="Y30" s="248">
        <v>0</v>
      </c>
      <c r="Z30" s="248">
        <v>18.200000000000106</v>
      </c>
      <c r="AA30" s="241">
        <v>0</v>
      </c>
      <c r="AB30" s="58">
        <f t="shared" si="1"/>
        <v>1743469.6698800088</v>
      </c>
      <c r="AC30" s="59">
        <f t="shared" si="2"/>
        <v>0</v>
      </c>
      <c r="AD30" s="59">
        <f t="shared" si="3"/>
        <v>0</v>
      </c>
      <c r="AE30" s="59">
        <f t="shared" si="4"/>
        <v>228911.81787394165</v>
      </c>
      <c r="AF30" s="59">
        <f t="shared" si="5"/>
        <v>0</v>
      </c>
      <c r="AG30" s="59">
        <f t="shared" si="6"/>
        <v>2278.4999999999986</v>
      </c>
      <c r="AH30" s="59">
        <f t="shared" si="7"/>
        <v>35023.79999999999</v>
      </c>
      <c r="AI30" s="59">
        <f t="shared" si="8"/>
        <v>35349.30000000003</v>
      </c>
      <c r="AJ30" s="59">
        <f t="shared" si="9"/>
        <v>7030.799999999995</v>
      </c>
      <c r="AK30" s="59">
        <f t="shared" si="10"/>
        <v>976.5000000000009</v>
      </c>
      <c r="AL30" s="59">
        <f t="shared" si="11"/>
        <v>0</v>
      </c>
      <c r="AM30" s="59">
        <f t="shared" si="12"/>
        <v>0</v>
      </c>
      <c r="AN30" s="59">
        <f t="shared" si="13"/>
        <v>0</v>
      </c>
      <c r="AO30" s="59">
        <f t="shared" si="14"/>
        <v>0</v>
      </c>
      <c r="AP30" s="59">
        <f t="shared" si="15"/>
        <v>0</v>
      </c>
      <c r="AQ30" s="59">
        <f t="shared" si="16"/>
        <v>0</v>
      </c>
      <c r="AR30" s="256">
        <f t="shared" si="17"/>
        <v>0</v>
      </c>
      <c r="AS30" s="245">
        <f t="shared" si="18"/>
        <v>127115.3610389611</v>
      </c>
      <c r="AT30" s="254">
        <f t="shared" si="19"/>
        <v>0</v>
      </c>
      <c r="AU30" s="236">
        <f t="shared" si="20"/>
        <v>112354.89076691722</v>
      </c>
      <c r="AV30" s="59">
        <f t="shared" si="21"/>
        <v>0</v>
      </c>
      <c r="AW30" s="59">
        <f t="shared" si="22"/>
        <v>14560.000000000085</v>
      </c>
      <c r="AX30" s="59">
        <f t="shared" si="23"/>
        <v>0</v>
      </c>
      <c r="AY30" s="256">
        <v>140000</v>
      </c>
      <c r="AZ30" s="258">
        <v>82000</v>
      </c>
      <c r="BA30" s="258">
        <v>12627.16</v>
      </c>
      <c r="BB30" s="236"/>
      <c r="BC30" s="59"/>
      <c r="BD30" s="60">
        <v>0</v>
      </c>
      <c r="BE30" s="58">
        <f t="shared" si="24"/>
        <v>1743469.6698800088</v>
      </c>
      <c r="BF30" s="59">
        <f t="shared" si="25"/>
        <v>563600.9696798201</v>
      </c>
      <c r="BG30" s="59">
        <f t="shared" si="26"/>
        <v>234627.16</v>
      </c>
      <c r="BH30" s="60">
        <f t="shared" si="27"/>
        <v>112354.89076691722</v>
      </c>
      <c r="BI30" s="34">
        <f t="shared" si="28"/>
        <v>2541697.799559829</v>
      </c>
      <c r="BJ30" s="59">
        <f t="shared" si="29"/>
        <v>2541697.799559829</v>
      </c>
      <c r="BK30" s="60">
        <f t="shared" si="30"/>
        <v>0</v>
      </c>
      <c r="BL30" s="58">
        <f t="shared" si="31"/>
        <v>2307070.6395598287</v>
      </c>
      <c r="BM30" s="59">
        <v>4209.982882375144</v>
      </c>
      <c r="BN30" s="59">
        <v>4125.729222884615</v>
      </c>
      <c r="BO30" s="33">
        <f t="shared" si="32"/>
        <v>0.02042151943059909</v>
      </c>
      <c r="BP30" s="204">
        <f t="shared" si="33"/>
        <v>0</v>
      </c>
      <c r="BQ30" s="60">
        <f t="shared" si="34"/>
        <v>0</v>
      </c>
      <c r="BR30" s="205">
        <f t="shared" si="35"/>
        <v>2541697.799559829</v>
      </c>
      <c r="BS30" s="91">
        <f t="shared" si="36"/>
        <v>0</v>
      </c>
      <c r="BT30" s="91">
        <f t="shared" si="37"/>
        <v>668.56</v>
      </c>
      <c r="BU30" s="97">
        <f t="shared" si="38"/>
        <v>2541029.239559829</v>
      </c>
      <c r="BV30" s="10"/>
      <c r="BW30" s="116">
        <f>VLOOKUP(A30,'EYSFF Universal Hrs'!$A$159:$W$216,23,0)</f>
        <v>185455.99140309202</v>
      </c>
      <c r="BX30" s="385">
        <f>VLOOKUP(A30,'EYSFF Extended Hrs'!$A$115:$W$172,11,0)</f>
        <v>0</v>
      </c>
      <c r="BY30" s="23">
        <v>63160</v>
      </c>
      <c r="BZ30" s="23"/>
      <c r="CA30" s="225">
        <f>VLOOKUP(A30,'Top Up SEN'!A:E,5,0)</f>
        <v>164551</v>
      </c>
      <c r="CB30" s="225">
        <f>VLOOKUP(A30,'2% threshold'!A:H,8,0)</f>
        <v>60000</v>
      </c>
      <c r="CC30" s="212"/>
      <c r="CD30" s="433">
        <f>VLOOKUP(A30,'[4]Pupil Premuim'!$B:$G,6,0)</f>
        <v>291060</v>
      </c>
      <c r="CE30" s="433">
        <f>VLOOKUP(A30,'[4]Pupil Premuim'!$K:$P,6,0)</f>
        <v>300</v>
      </c>
      <c r="CF30" s="433">
        <f>VLOOKUP(A30,'[4]Pupil Premuim'!$T:$Z,7,0)</f>
        <v>6900</v>
      </c>
      <c r="CG30" s="433">
        <f>VLOOKUP(A30,'[4]PE+Sports'!$B$5:$P$54,15,0)</f>
        <v>20620</v>
      </c>
      <c r="CH30" s="433">
        <f>VLOOKUP(A30,'[4]UIFSM'!$B$5:$K$43,10,0)</f>
        <v>55936</v>
      </c>
      <c r="CI30" s="433"/>
      <c r="CJ30" s="433"/>
      <c r="CK30" s="433"/>
    </row>
    <row r="31" spans="1:89" ht="15">
      <c r="A31" s="37">
        <v>2065</v>
      </c>
      <c r="B31" s="94" t="s">
        <v>96</v>
      </c>
      <c r="C31" s="251">
        <v>210</v>
      </c>
      <c r="D31" s="254">
        <v>210</v>
      </c>
      <c r="E31" s="254">
        <v>0</v>
      </c>
      <c r="F31" s="254">
        <v>0</v>
      </c>
      <c r="G31" s="238">
        <v>0</v>
      </c>
      <c r="H31" s="254">
        <v>18.086124401913878</v>
      </c>
      <c r="I31" s="238">
        <v>0</v>
      </c>
      <c r="J31" s="254">
        <v>31.00000000000008</v>
      </c>
      <c r="K31" s="238">
        <v>17.00000000000001</v>
      </c>
      <c r="L31" s="254">
        <v>0</v>
      </c>
      <c r="M31" s="238">
        <v>0</v>
      </c>
      <c r="N31" s="254">
        <v>0</v>
      </c>
      <c r="O31" s="238">
        <v>0</v>
      </c>
      <c r="P31" s="254">
        <v>0</v>
      </c>
      <c r="Q31" s="238">
        <v>0</v>
      </c>
      <c r="R31" s="254">
        <v>0</v>
      </c>
      <c r="S31" s="254">
        <v>0</v>
      </c>
      <c r="T31" s="238">
        <v>0</v>
      </c>
      <c r="U31" s="254">
        <v>0</v>
      </c>
      <c r="V31" s="238">
        <v>24.77528089887648</v>
      </c>
      <c r="W31" s="254">
        <v>0</v>
      </c>
      <c r="X31" s="248">
        <v>19.082160919540215</v>
      </c>
      <c r="Y31" s="248">
        <v>0</v>
      </c>
      <c r="Z31" s="248">
        <v>0</v>
      </c>
      <c r="AA31" s="241">
        <v>0</v>
      </c>
      <c r="AB31" s="58">
        <f t="shared" si="1"/>
        <v>668117.9391875947</v>
      </c>
      <c r="AC31" s="59">
        <f t="shared" si="2"/>
        <v>0</v>
      </c>
      <c r="AD31" s="59">
        <f t="shared" si="3"/>
        <v>0</v>
      </c>
      <c r="AE31" s="59">
        <f t="shared" si="4"/>
        <v>18047.058373205746</v>
      </c>
      <c r="AF31" s="59">
        <f t="shared" si="5"/>
        <v>0</v>
      </c>
      <c r="AG31" s="59">
        <f t="shared" si="6"/>
        <v>2018.1000000000051</v>
      </c>
      <c r="AH31" s="59">
        <f t="shared" si="7"/>
        <v>2213.400000000001</v>
      </c>
      <c r="AI31" s="59">
        <f t="shared" si="8"/>
        <v>0</v>
      </c>
      <c r="AJ31" s="59">
        <f t="shared" si="9"/>
        <v>0</v>
      </c>
      <c r="AK31" s="59">
        <f t="shared" si="10"/>
        <v>0</v>
      </c>
      <c r="AL31" s="59">
        <f t="shared" si="11"/>
        <v>0</v>
      </c>
      <c r="AM31" s="59">
        <f t="shared" si="12"/>
        <v>0</v>
      </c>
      <c r="AN31" s="59">
        <f t="shared" si="13"/>
        <v>0</v>
      </c>
      <c r="AO31" s="59">
        <f t="shared" si="14"/>
        <v>0</v>
      </c>
      <c r="AP31" s="59">
        <f t="shared" si="15"/>
        <v>0</v>
      </c>
      <c r="AQ31" s="59">
        <f t="shared" si="16"/>
        <v>0</v>
      </c>
      <c r="AR31" s="256">
        <f t="shared" si="17"/>
        <v>0</v>
      </c>
      <c r="AS31" s="245">
        <f t="shared" si="18"/>
        <v>18310.91460674163</v>
      </c>
      <c r="AT31" s="254">
        <f t="shared" si="19"/>
        <v>0</v>
      </c>
      <c r="AU31" s="236">
        <f t="shared" si="20"/>
        <v>20990.377011494234</v>
      </c>
      <c r="AV31" s="59">
        <f t="shared" si="21"/>
        <v>0</v>
      </c>
      <c r="AW31" s="59">
        <f t="shared" si="22"/>
        <v>0</v>
      </c>
      <c r="AX31" s="59">
        <f t="shared" si="23"/>
        <v>0</v>
      </c>
      <c r="AY31" s="256">
        <v>140000</v>
      </c>
      <c r="AZ31" s="258">
        <v>18240</v>
      </c>
      <c r="BA31" s="258">
        <v>556.1299999999992</v>
      </c>
      <c r="BB31" s="236"/>
      <c r="BC31" s="59"/>
      <c r="BD31" s="60">
        <v>0</v>
      </c>
      <c r="BE31" s="58">
        <f t="shared" si="24"/>
        <v>668117.9391875947</v>
      </c>
      <c r="BF31" s="59">
        <f t="shared" si="25"/>
        <v>61579.84999144162</v>
      </c>
      <c r="BG31" s="59">
        <f t="shared" si="26"/>
        <v>158796.13</v>
      </c>
      <c r="BH31" s="60">
        <f t="shared" si="27"/>
        <v>20990.377011494234</v>
      </c>
      <c r="BI31" s="34">
        <f t="shared" si="28"/>
        <v>888493.9191790363</v>
      </c>
      <c r="BJ31" s="59">
        <f t="shared" si="29"/>
        <v>888493.9191790363</v>
      </c>
      <c r="BK31" s="60">
        <f t="shared" si="30"/>
        <v>0</v>
      </c>
      <c r="BL31" s="58">
        <f t="shared" si="31"/>
        <v>729697.7891790363</v>
      </c>
      <c r="BM31" s="59">
        <v>3474.75137704303</v>
      </c>
      <c r="BN31" s="59">
        <v>3358.6133323809527</v>
      </c>
      <c r="BO31" s="33">
        <f t="shared" si="32"/>
        <v>0.034579165020983835</v>
      </c>
      <c r="BP31" s="204">
        <f t="shared" si="33"/>
        <v>0</v>
      </c>
      <c r="BQ31" s="60">
        <f t="shared" si="34"/>
        <v>0</v>
      </c>
      <c r="BR31" s="205">
        <f t="shared" si="35"/>
        <v>888493.9191790363</v>
      </c>
      <c r="BS31" s="91">
        <f t="shared" si="36"/>
        <v>0</v>
      </c>
      <c r="BT31" s="91">
        <f t="shared" si="37"/>
        <v>256.2</v>
      </c>
      <c r="BU31" s="97">
        <f t="shared" si="38"/>
        <v>888237.7191790363</v>
      </c>
      <c r="BV31" s="10"/>
      <c r="BW31" s="116">
        <f>VLOOKUP(A31,'EYSFF Universal Hrs'!$A$159:$W$216,23,0)</f>
        <v>93190.91841346624</v>
      </c>
      <c r="BX31" s="385">
        <f>VLOOKUP(A31,'EYSFF Extended Hrs'!$A$115:$W$172,11,0)</f>
        <v>0</v>
      </c>
      <c r="BY31" s="23"/>
      <c r="BZ31" s="23"/>
      <c r="CA31" s="225">
        <f>VLOOKUP(A31,'Top Up SEN'!A:E,5,0)</f>
        <v>56275</v>
      </c>
      <c r="CB31" s="225">
        <f>VLOOKUP(A31,'2% threshold'!A:H,8,0)</f>
        <v>12000</v>
      </c>
      <c r="CC31" s="212"/>
      <c r="CD31" s="433">
        <f>VLOOKUP(A31,'[4]Pupil Premuim'!$B:$G,6,0)</f>
        <v>23760</v>
      </c>
      <c r="CE31" s="433">
        <f>VLOOKUP(A31,'[4]Pupil Premuim'!$K:$P,6,0)</f>
        <v>300</v>
      </c>
      <c r="CF31" s="433">
        <f>VLOOKUP(A31,'[4]Pupil Premuim'!$T:$Z,7,0)</f>
        <v>4600</v>
      </c>
      <c r="CG31" s="433">
        <f>VLOOKUP(A31,'[4]PE+Sports'!$B$5:$P$54,15,0)</f>
        <v>17800</v>
      </c>
      <c r="CH31" s="433">
        <f>VLOOKUP(A31,'[4]UIFSM'!$B$5:$K$43,10,0)</f>
        <v>38019</v>
      </c>
      <c r="CI31" s="433"/>
      <c r="CJ31" s="433"/>
      <c r="CK31" s="433"/>
    </row>
    <row r="32" spans="1:89" ht="15">
      <c r="A32" s="37">
        <v>2069</v>
      </c>
      <c r="B32" s="115" t="s">
        <v>25</v>
      </c>
      <c r="C32" s="251">
        <v>313</v>
      </c>
      <c r="D32" s="254">
        <v>313</v>
      </c>
      <c r="E32" s="254">
        <v>0</v>
      </c>
      <c r="F32" s="254">
        <v>0</v>
      </c>
      <c r="G32" s="238">
        <v>0</v>
      </c>
      <c r="H32" s="254">
        <v>80.1820987654321</v>
      </c>
      <c r="I32" s="238">
        <v>0</v>
      </c>
      <c r="J32" s="254">
        <v>74.00000000000011</v>
      </c>
      <c r="K32" s="238">
        <v>117.99999999999997</v>
      </c>
      <c r="L32" s="254">
        <v>36.000000000000135</v>
      </c>
      <c r="M32" s="238">
        <v>7.000000000000011</v>
      </c>
      <c r="N32" s="254">
        <v>1.0000000000000007</v>
      </c>
      <c r="O32" s="238">
        <v>0</v>
      </c>
      <c r="P32" s="254">
        <v>0</v>
      </c>
      <c r="Q32" s="238">
        <v>0</v>
      </c>
      <c r="R32" s="254">
        <v>0</v>
      </c>
      <c r="S32" s="254">
        <v>0</v>
      </c>
      <c r="T32" s="238">
        <v>0</v>
      </c>
      <c r="U32" s="254">
        <v>0</v>
      </c>
      <c r="V32" s="238">
        <v>191.3601895734596</v>
      </c>
      <c r="W32" s="254">
        <v>0</v>
      </c>
      <c r="X32" s="248">
        <v>58.138558375634574</v>
      </c>
      <c r="Y32" s="248">
        <v>0</v>
      </c>
      <c r="Z32" s="248">
        <v>0</v>
      </c>
      <c r="AA32" s="241">
        <v>0</v>
      </c>
      <c r="AB32" s="58">
        <f t="shared" si="1"/>
        <v>995813.8807891292</v>
      </c>
      <c r="AC32" s="59">
        <f t="shared" si="2"/>
        <v>0</v>
      </c>
      <c r="AD32" s="59">
        <f t="shared" si="3"/>
        <v>0</v>
      </c>
      <c r="AE32" s="59">
        <f t="shared" si="4"/>
        <v>80008.90543209878</v>
      </c>
      <c r="AF32" s="59">
        <f t="shared" si="5"/>
        <v>0</v>
      </c>
      <c r="AG32" s="59">
        <f t="shared" si="6"/>
        <v>4817.400000000007</v>
      </c>
      <c r="AH32" s="59">
        <f t="shared" si="7"/>
        <v>15363.599999999995</v>
      </c>
      <c r="AI32" s="59">
        <f t="shared" si="8"/>
        <v>7030.800000000027</v>
      </c>
      <c r="AJ32" s="59">
        <f t="shared" si="9"/>
        <v>1822.8000000000027</v>
      </c>
      <c r="AK32" s="59">
        <f t="shared" si="10"/>
        <v>325.5000000000002</v>
      </c>
      <c r="AL32" s="59">
        <f t="shared" si="11"/>
        <v>0</v>
      </c>
      <c r="AM32" s="59">
        <f t="shared" si="12"/>
        <v>0</v>
      </c>
      <c r="AN32" s="59">
        <f t="shared" si="13"/>
        <v>0</v>
      </c>
      <c r="AO32" s="59">
        <f t="shared" si="14"/>
        <v>0</v>
      </c>
      <c r="AP32" s="59">
        <f t="shared" si="15"/>
        <v>0</v>
      </c>
      <c r="AQ32" s="59">
        <f t="shared" si="16"/>
        <v>0</v>
      </c>
      <c r="AR32" s="256">
        <f t="shared" si="17"/>
        <v>0</v>
      </c>
      <c r="AS32" s="245">
        <f t="shared" si="18"/>
        <v>141430.48890995252</v>
      </c>
      <c r="AT32" s="254">
        <f t="shared" si="19"/>
        <v>0</v>
      </c>
      <c r="AU32" s="236">
        <f t="shared" si="20"/>
        <v>63952.41421319803</v>
      </c>
      <c r="AV32" s="59">
        <f t="shared" si="21"/>
        <v>0</v>
      </c>
      <c r="AW32" s="59">
        <f t="shared" si="22"/>
        <v>0</v>
      </c>
      <c r="AX32" s="59">
        <f t="shared" si="23"/>
        <v>0</v>
      </c>
      <c r="AY32" s="256">
        <v>140000</v>
      </c>
      <c r="AZ32" s="258">
        <v>41250</v>
      </c>
      <c r="BA32" s="258">
        <v>11388.55</v>
      </c>
      <c r="BB32" s="236"/>
      <c r="BC32" s="59"/>
      <c r="BD32" s="60">
        <v>0</v>
      </c>
      <c r="BE32" s="58">
        <f t="shared" si="24"/>
        <v>995813.8807891292</v>
      </c>
      <c r="BF32" s="59">
        <f t="shared" si="25"/>
        <v>314751.90855524933</v>
      </c>
      <c r="BG32" s="59">
        <f t="shared" si="26"/>
        <v>192638.55</v>
      </c>
      <c r="BH32" s="60">
        <f t="shared" si="27"/>
        <v>63952.41421319803</v>
      </c>
      <c r="BI32" s="34">
        <f t="shared" si="28"/>
        <v>1503204.3393443786</v>
      </c>
      <c r="BJ32" s="59">
        <f t="shared" si="29"/>
        <v>1503204.3393443786</v>
      </c>
      <c r="BK32" s="60">
        <f t="shared" si="30"/>
        <v>0</v>
      </c>
      <c r="BL32" s="58">
        <f t="shared" si="31"/>
        <v>1310565.7893443785</v>
      </c>
      <c r="BM32" s="59">
        <v>4187.111130906162</v>
      </c>
      <c r="BN32" s="59">
        <v>4046.7669315950916</v>
      </c>
      <c r="BO32" s="33">
        <f t="shared" si="32"/>
        <v>0.034680573821866074</v>
      </c>
      <c r="BP32" s="204">
        <f t="shared" si="33"/>
        <v>0</v>
      </c>
      <c r="BQ32" s="60">
        <f t="shared" si="34"/>
        <v>0</v>
      </c>
      <c r="BR32" s="205">
        <f t="shared" si="35"/>
        <v>1503204.3393443786</v>
      </c>
      <c r="BS32" s="91">
        <f t="shared" si="36"/>
        <v>0</v>
      </c>
      <c r="BT32" s="91">
        <f t="shared" si="37"/>
        <v>381.86</v>
      </c>
      <c r="BU32" s="97">
        <f t="shared" si="38"/>
        <v>1502822.4793443785</v>
      </c>
      <c r="BV32" s="10"/>
      <c r="BW32" s="116">
        <f>VLOOKUP(A32,'EYSFF Universal Hrs'!$A$159:$W$216,23,0)</f>
        <v>195320.55268166075</v>
      </c>
      <c r="BX32" s="385">
        <f>VLOOKUP(A32,'EYSFF Extended Hrs'!$A$115:$W$172,11,0)</f>
        <v>0</v>
      </c>
      <c r="BY32" s="23"/>
      <c r="BZ32" s="23"/>
      <c r="CA32" s="225">
        <f>VLOOKUP(A32,'Top Up SEN'!A:E,5,0)</f>
        <v>21100</v>
      </c>
      <c r="CB32" s="225">
        <f>VLOOKUP(A32,'2% threshold'!A:H,8,0)</f>
        <v>0</v>
      </c>
      <c r="CC32" s="212"/>
      <c r="CD32" s="433">
        <f>VLOOKUP(A32,'[4]Pupil Premuim'!$B:$G,6,0)</f>
        <v>109560</v>
      </c>
      <c r="CE32" s="433">
        <f>VLOOKUP(A32,'[4]Pupil Premuim'!$K:$P,6,0)</f>
        <v>900</v>
      </c>
      <c r="CF32" s="433">
        <v>0</v>
      </c>
      <c r="CG32" s="433">
        <f>VLOOKUP(A32,'[4]PE+Sports'!$B$5:$P$54,15,0)</f>
        <v>18110</v>
      </c>
      <c r="CH32" s="433">
        <f>VLOOKUP(A32,'[4]UIFSM'!$B$5:$K$43,10,0)</f>
        <v>86963</v>
      </c>
      <c r="CI32" s="433"/>
      <c r="CJ32" s="433"/>
      <c r="CK32" s="433"/>
    </row>
    <row r="33" spans="1:89" ht="15">
      <c r="A33" s="37">
        <v>2074</v>
      </c>
      <c r="B33" s="115" t="s">
        <v>211</v>
      </c>
      <c r="C33" s="251">
        <v>269</v>
      </c>
      <c r="D33" s="254">
        <v>269</v>
      </c>
      <c r="E33" s="254">
        <v>0</v>
      </c>
      <c r="F33" s="254">
        <v>0</v>
      </c>
      <c r="G33" s="238">
        <v>0</v>
      </c>
      <c r="H33" s="254">
        <v>12.951851851851853</v>
      </c>
      <c r="I33" s="238">
        <v>0</v>
      </c>
      <c r="J33" s="254">
        <v>50.999999999999865</v>
      </c>
      <c r="K33" s="238">
        <v>8.00000000000001</v>
      </c>
      <c r="L33" s="254">
        <v>0</v>
      </c>
      <c r="M33" s="238">
        <v>0</v>
      </c>
      <c r="N33" s="254">
        <v>0</v>
      </c>
      <c r="O33" s="238">
        <v>0</v>
      </c>
      <c r="P33" s="254">
        <v>0</v>
      </c>
      <c r="Q33" s="238">
        <v>0</v>
      </c>
      <c r="R33" s="254">
        <v>0</v>
      </c>
      <c r="S33" s="254">
        <v>0</v>
      </c>
      <c r="T33" s="238">
        <v>0</v>
      </c>
      <c r="U33" s="254">
        <v>0</v>
      </c>
      <c r="V33" s="238">
        <v>66.12290502793302</v>
      </c>
      <c r="W33" s="254">
        <v>0</v>
      </c>
      <c r="X33" s="248">
        <v>21.42841910112365</v>
      </c>
      <c r="Y33" s="248">
        <v>0</v>
      </c>
      <c r="Z33" s="248">
        <v>0</v>
      </c>
      <c r="AA33" s="241">
        <v>0</v>
      </c>
      <c r="AB33" s="58">
        <f t="shared" si="1"/>
        <v>855827.2649593474</v>
      </c>
      <c r="AC33" s="59">
        <f t="shared" si="2"/>
        <v>0</v>
      </c>
      <c r="AD33" s="59">
        <f t="shared" si="3"/>
        <v>0</v>
      </c>
      <c r="AE33" s="59">
        <f t="shared" si="4"/>
        <v>12923.875851851853</v>
      </c>
      <c r="AF33" s="59">
        <f t="shared" si="5"/>
        <v>0</v>
      </c>
      <c r="AG33" s="59">
        <f t="shared" si="6"/>
        <v>3320.099999999991</v>
      </c>
      <c r="AH33" s="59">
        <f t="shared" si="7"/>
        <v>1041.6000000000013</v>
      </c>
      <c r="AI33" s="59">
        <f t="shared" si="8"/>
        <v>0</v>
      </c>
      <c r="AJ33" s="59">
        <f t="shared" si="9"/>
        <v>0</v>
      </c>
      <c r="AK33" s="59">
        <f t="shared" si="10"/>
        <v>0</v>
      </c>
      <c r="AL33" s="59">
        <f t="shared" si="11"/>
        <v>0</v>
      </c>
      <c r="AM33" s="59">
        <f t="shared" si="12"/>
        <v>0</v>
      </c>
      <c r="AN33" s="59">
        <f t="shared" si="13"/>
        <v>0</v>
      </c>
      <c r="AO33" s="59">
        <f t="shared" si="14"/>
        <v>0</v>
      </c>
      <c r="AP33" s="59">
        <f t="shared" si="15"/>
        <v>0</v>
      </c>
      <c r="AQ33" s="59">
        <f t="shared" si="16"/>
        <v>0</v>
      </c>
      <c r="AR33" s="256">
        <f t="shared" si="17"/>
        <v>0</v>
      </c>
      <c r="AS33" s="245">
        <f t="shared" si="18"/>
        <v>48870.116648044735</v>
      </c>
      <c r="AT33" s="254">
        <f t="shared" si="19"/>
        <v>0</v>
      </c>
      <c r="AU33" s="236">
        <f t="shared" si="20"/>
        <v>23571.261011236016</v>
      </c>
      <c r="AV33" s="59">
        <f t="shared" si="21"/>
        <v>0</v>
      </c>
      <c r="AW33" s="59">
        <f t="shared" si="22"/>
        <v>0</v>
      </c>
      <c r="AX33" s="59">
        <f t="shared" si="23"/>
        <v>0</v>
      </c>
      <c r="AY33" s="256">
        <v>140000</v>
      </c>
      <c r="AZ33" s="258">
        <v>29500</v>
      </c>
      <c r="BA33" s="258">
        <v>7857.57</v>
      </c>
      <c r="BB33" s="236"/>
      <c r="BC33" s="59"/>
      <c r="BD33" s="60">
        <v>0</v>
      </c>
      <c r="BE33" s="58">
        <f t="shared" si="24"/>
        <v>855827.2649593474</v>
      </c>
      <c r="BF33" s="59">
        <f t="shared" si="25"/>
        <v>89726.9535111326</v>
      </c>
      <c r="BG33" s="59">
        <f t="shared" si="26"/>
        <v>177357.57</v>
      </c>
      <c r="BH33" s="60">
        <f t="shared" si="27"/>
        <v>23571.261011236016</v>
      </c>
      <c r="BI33" s="34">
        <f t="shared" si="28"/>
        <v>1122911.7884704801</v>
      </c>
      <c r="BJ33" s="59">
        <f t="shared" si="29"/>
        <v>1122911.7884704801</v>
      </c>
      <c r="BK33" s="60">
        <f t="shared" si="30"/>
        <v>0</v>
      </c>
      <c r="BL33" s="58">
        <f t="shared" si="31"/>
        <v>945554.2184704801</v>
      </c>
      <c r="BM33" s="59">
        <v>3515.071444128179</v>
      </c>
      <c r="BN33" s="59">
        <v>3445.142840148699</v>
      </c>
      <c r="BO33" s="33">
        <f t="shared" si="32"/>
        <v>0.020297737198165473</v>
      </c>
      <c r="BP33" s="204">
        <f t="shared" si="33"/>
        <v>0</v>
      </c>
      <c r="BQ33" s="60">
        <f t="shared" si="34"/>
        <v>0</v>
      </c>
      <c r="BR33" s="205">
        <f t="shared" si="35"/>
        <v>1122911.7884704801</v>
      </c>
      <c r="BS33" s="91">
        <f t="shared" si="36"/>
        <v>0</v>
      </c>
      <c r="BT33" s="91">
        <f t="shared" si="37"/>
        <v>328.18</v>
      </c>
      <c r="BU33" s="97">
        <f t="shared" si="38"/>
        <v>1122583.6084704802</v>
      </c>
      <c r="BV33" s="10"/>
      <c r="BW33" s="116">
        <f>VLOOKUP(A33,'EYSFF Universal Hrs'!$A$159:$W$216,23,0)</f>
        <v>164044.63000919877</v>
      </c>
      <c r="BX33" s="385">
        <f>VLOOKUP(A33,'EYSFF Extended Hrs'!$A$115:$W$172,11,0)</f>
        <v>0</v>
      </c>
      <c r="BY33" s="23"/>
      <c r="BZ33" s="23"/>
      <c r="CA33" s="225">
        <f>VLOOKUP(A33,'Top Up SEN'!A:E,5,0)</f>
        <v>32667</v>
      </c>
      <c r="CB33" s="225">
        <f>VLOOKUP(A33,'2% threshold'!A:H,8,0)</f>
        <v>0</v>
      </c>
      <c r="CC33" s="212"/>
      <c r="CD33" s="433">
        <f>VLOOKUP(A33,'[4]Pupil Premuim'!$B:$G,6,0)</f>
        <v>17160</v>
      </c>
      <c r="CE33" s="433">
        <f>VLOOKUP(A33,'[4]Pupil Premuim'!$K:$P,6,0)</f>
        <v>300</v>
      </c>
      <c r="CF33" s="433">
        <f>VLOOKUP(A33,'[4]Pupil Premuim'!$T:$Z,7,0)</f>
        <v>9200</v>
      </c>
      <c r="CG33" s="433">
        <f>VLOOKUP(A33,'[4]PE+Sports'!$B$5:$P$54,15,0)</f>
        <v>17790</v>
      </c>
      <c r="CH33" s="433">
        <f>VLOOKUP(A33,'[4]UIFSM'!$B$5:$K$43,10,0)</f>
        <v>88274</v>
      </c>
      <c r="CI33" s="433"/>
      <c r="CJ33" s="433"/>
      <c r="CK33" s="433"/>
    </row>
    <row r="34" spans="1:89" ht="15">
      <c r="A34" s="37">
        <v>2076</v>
      </c>
      <c r="B34" s="115" t="s">
        <v>26</v>
      </c>
      <c r="C34" s="251">
        <v>407</v>
      </c>
      <c r="D34" s="254">
        <v>407</v>
      </c>
      <c r="E34" s="254">
        <v>0</v>
      </c>
      <c r="F34" s="254">
        <v>0</v>
      </c>
      <c r="G34" s="238">
        <v>0</v>
      </c>
      <c r="H34" s="254">
        <v>57.01932367149759</v>
      </c>
      <c r="I34" s="238">
        <v>0</v>
      </c>
      <c r="J34" s="254">
        <v>59.000000000000014</v>
      </c>
      <c r="K34" s="238">
        <v>17.000000000000014</v>
      </c>
      <c r="L34" s="254">
        <v>0</v>
      </c>
      <c r="M34" s="238">
        <v>1.9999999999999984</v>
      </c>
      <c r="N34" s="254">
        <v>0</v>
      </c>
      <c r="O34" s="238">
        <v>0</v>
      </c>
      <c r="P34" s="254">
        <v>0</v>
      </c>
      <c r="Q34" s="238">
        <v>0</v>
      </c>
      <c r="R34" s="254">
        <v>0</v>
      </c>
      <c r="S34" s="254">
        <v>0</v>
      </c>
      <c r="T34" s="238">
        <v>0</v>
      </c>
      <c r="U34" s="254">
        <v>0</v>
      </c>
      <c r="V34" s="238">
        <v>93.56321839080445</v>
      </c>
      <c r="W34" s="254">
        <v>0</v>
      </c>
      <c r="X34" s="248">
        <v>64.71764565006387</v>
      </c>
      <c r="Y34" s="248">
        <v>0</v>
      </c>
      <c r="Z34" s="248">
        <v>0</v>
      </c>
      <c r="AA34" s="241">
        <v>0</v>
      </c>
      <c r="AB34" s="58">
        <f t="shared" si="1"/>
        <v>1294876.196425481</v>
      </c>
      <c r="AC34" s="59">
        <f t="shared" si="2"/>
        <v>0</v>
      </c>
      <c r="AD34" s="59">
        <f t="shared" si="3"/>
        <v>0</v>
      </c>
      <c r="AE34" s="59">
        <f t="shared" si="4"/>
        <v>56896.161932367155</v>
      </c>
      <c r="AF34" s="59">
        <f t="shared" si="5"/>
        <v>0</v>
      </c>
      <c r="AG34" s="59">
        <f t="shared" si="6"/>
        <v>3840.9000000000005</v>
      </c>
      <c r="AH34" s="59">
        <f t="shared" si="7"/>
        <v>2213.4000000000015</v>
      </c>
      <c r="AI34" s="59">
        <f t="shared" si="8"/>
        <v>0</v>
      </c>
      <c r="AJ34" s="59">
        <f t="shared" si="9"/>
        <v>520.7999999999995</v>
      </c>
      <c r="AK34" s="59">
        <f t="shared" si="10"/>
        <v>0</v>
      </c>
      <c r="AL34" s="59">
        <f t="shared" si="11"/>
        <v>0</v>
      </c>
      <c r="AM34" s="59">
        <f t="shared" si="12"/>
        <v>0</v>
      </c>
      <c r="AN34" s="59">
        <f t="shared" si="13"/>
        <v>0</v>
      </c>
      <c r="AO34" s="59">
        <f t="shared" si="14"/>
        <v>0</v>
      </c>
      <c r="AP34" s="59">
        <f t="shared" si="15"/>
        <v>0</v>
      </c>
      <c r="AQ34" s="59">
        <f t="shared" si="16"/>
        <v>0</v>
      </c>
      <c r="AR34" s="256">
        <f t="shared" si="17"/>
        <v>0</v>
      </c>
      <c r="AS34" s="245">
        <f t="shared" si="18"/>
        <v>69150.70344827576</v>
      </c>
      <c r="AT34" s="254">
        <f t="shared" si="19"/>
        <v>0</v>
      </c>
      <c r="AU34" s="236">
        <f t="shared" si="20"/>
        <v>71189.41021507025</v>
      </c>
      <c r="AV34" s="59">
        <f t="shared" si="21"/>
        <v>0</v>
      </c>
      <c r="AW34" s="59">
        <f t="shared" si="22"/>
        <v>0</v>
      </c>
      <c r="AX34" s="59">
        <f t="shared" si="23"/>
        <v>0</v>
      </c>
      <c r="AY34" s="256">
        <v>140000</v>
      </c>
      <c r="AZ34" s="258">
        <v>23280</v>
      </c>
      <c r="BA34" s="258">
        <v>2379.459999999999</v>
      </c>
      <c r="BB34" s="236"/>
      <c r="BC34" s="59"/>
      <c r="BD34" s="60">
        <v>0</v>
      </c>
      <c r="BE34" s="58">
        <f t="shared" si="24"/>
        <v>1294876.196425481</v>
      </c>
      <c r="BF34" s="59">
        <f t="shared" si="25"/>
        <v>203811.37559571315</v>
      </c>
      <c r="BG34" s="59">
        <f t="shared" si="26"/>
        <v>165659.46</v>
      </c>
      <c r="BH34" s="60">
        <f t="shared" si="27"/>
        <v>71189.41021507025</v>
      </c>
      <c r="BI34" s="34">
        <f t="shared" si="28"/>
        <v>1664347.0320211942</v>
      </c>
      <c r="BJ34" s="59">
        <f t="shared" si="29"/>
        <v>1664347.0320211942</v>
      </c>
      <c r="BK34" s="60">
        <f t="shared" si="30"/>
        <v>0</v>
      </c>
      <c r="BL34" s="58">
        <f t="shared" si="31"/>
        <v>1498687.5720211943</v>
      </c>
      <c r="BM34" s="59">
        <v>3682.2790435361035</v>
      </c>
      <c r="BN34" s="59">
        <v>3571.3112828087164</v>
      </c>
      <c r="BO34" s="33">
        <f t="shared" si="32"/>
        <v>0.03107199343321163</v>
      </c>
      <c r="BP34" s="204">
        <f t="shared" si="33"/>
        <v>0</v>
      </c>
      <c r="BQ34" s="60">
        <f t="shared" si="34"/>
        <v>0</v>
      </c>
      <c r="BR34" s="205">
        <f t="shared" si="35"/>
        <v>1664347.0320211942</v>
      </c>
      <c r="BS34" s="91">
        <f t="shared" si="36"/>
        <v>0</v>
      </c>
      <c r="BT34" s="91">
        <f t="shared" si="37"/>
        <v>496.53999999999996</v>
      </c>
      <c r="BU34" s="97">
        <f t="shared" si="38"/>
        <v>1663850.4920211942</v>
      </c>
      <c r="BV34" s="10"/>
      <c r="BW34" s="116">
        <f>VLOOKUP(A34,'EYSFF Universal Hrs'!$A$159:$W$216,23,0)</f>
        <v>86214.30353098574</v>
      </c>
      <c r="BX34" s="385">
        <f>VLOOKUP(A34,'EYSFF Extended Hrs'!$A$115:$W$172,11,0)</f>
        <v>0</v>
      </c>
      <c r="BY34" s="23"/>
      <c r="BZ34" s="23"/>
      <c r="CA34" s="225">
        <f>VLOOKUP(A34,'Top Up SEN'!A:E,5,0)</f>
        <v>52350</v>
      </c>
      <c r="CB34" s="225">
        <f>VLOOKUP(A34,'2% threshold'!A:H,8,0)</f>
        <v>0</v>
      </c>
      <c r="CC34" s="212"/>
      <c r="CD34" s="433">
        <f>VLOOKUP(A34,'[4]Pupil Premuim'!$B:$G,6,0)</f>
        <v>73920</v>
      </c>
      <c r="CE34" s="433">
        <f>VLOOKUP(A34,'[4]Pupil Premuim'!$K:$P,6,0)</f>
        <v>6300</v>
      </c>
      <c r="CF34" s="433">
        <f>VLOOKUP(A34,'[4]Pupil Premuim'!$T:$Z,7,0)</f>
        <v>11500</v>
      </c>
      <c r="CG34" s="433">
        <f>VLOOKUP(A34,'[4]PE+Sports'!$B$5:$P$54,15,0)</f>
        <v>19480</v>
      </c>
      <c r="CH34" s="433">
        <f>VLOOKUP(A34,'[4]UIFSM'!$B$5:$K$43,10,0)</f>
        <v>63365</v>
      </c>
      <c r="CI34" s="433"/>
      <c r="CJ34" s="433"/>
      <c r="CK34" s="433"/>
    </row>
    <row r="35" spans="1:89" ht="15">
      <c r="A35" s="37">
        <v>2080</v>
      </c>
      <c r="B35" s="10" t="s">
        <v>27</v>
      </c>
      <c r="C35" s="251">
        <v>405</v>
      </c>
      <c r="D35" s="254">
        <v>405</v>
      </c>
      <c r="E35" s="254">
        <v>0</v>
      </c>
      <c r="F35" s="254">
        <v>0</v>
      </c>
      <c r="G35" s="238">
        <v>0</v>
      </c>
      <c r="H35" s="254">
        <v>81.57582938388626</v>
      </c>
      <c r="I35" s="238">
        <v>0</v>
      </c>
      <c r="J35" s="254">
        <v>33.99999999999999</v>
      </c>
      <c r="K35" s="238">
        <v>14.999999999999986</v>
      </c>
      <c r="L35" s="254">
        <v>11.000000000000004</v>
      </c>
      <c r="M35" s="238">
        <v>8.000000000000005</v>
      </c>
      <c r="N35" s="254">
        <v>5.000000000000008</v>
      </c>
      <c r="O35" s="238">
        <v>0</v>
      </c>
      <c r="P35" s="254">
        <v>0</v>
      </c>
      <c r="Q35" s="238">
        <v>0</v>
      </c>
      <c r="R35" s="254">
        <v>0</v>
      </c>
      <c r="S35" s="254">
        <v>0</v>
      </c>
      <c r="T35" s="238">
        <v>0</v>
      </c>
      <c r="U35" s="254">
        <v>0</v>
      </c>
      <c r="V35" s="238">
        <v>74.0571428571429</v>
      </c>
      <c r="W35" s="254">
        <v>0</v>
      </c>
      <c r="X35" s="248">
        <v>75.58810925708411</v>
      </c>
      <c r="Y35" s="248">
        <v>0</v>
      </c>
      <c r="Z35" s="248">
        <v>21.499999999999833</v>
      </c>
      <c r="AA35" s="241">
        <v>0</v>
      </c>
      <c r="AB35" s="58">
        <f t="shared" si="1"/>
        <v>1288513.1684332183</v>
      </c>
      <c r="AC35" s="59">
        <f t="shared" si="2"/>
        <v>0</v>
      </c>
      <c r="AD35" s="59">
        <f t="shared" si="3"/>
        <v>0</v>
      </c>
      <c r="AE35" s="59">
        <f t="shared" si="4"/>
        <v>81399.62559241707</v>
      </c>
      <c r="AF35" s="59">
        <f t="shared" si="5"/>
        <v>0</v>
      </c>
      <c r="AG35" s="59">
        <f t="shared" si="6"/>
        <v>2213.399999999999</v>
      </c>
      <c r="AH35" s="59">
        <f t="shared" si="7"/>
        <v>1952.999999999998</v>
      </c>
      <c r="AI35" s="59">
        <f t="shared" si="8"/>
        <v>2148.3000000000006</v>
      </c>
      <c r="AJ35" s="59">
        <f t="shared" si="9"/>
        <v>2083.200000000001</v>
      </c>
      <c r="AK35" s="59">
        <f t="shared" si="10"/>
        <v>1627.5000000000025</v>
      </c>
      <c r="AL35" s="59">
        <f t="shared" si="11"/>
        <v>0</v>
      </c>
      <c r="AM35" s="59">
        <f t="shared" si="12"/>
        <v>0</v>
      </c>
      <c r="AN35" s="59">
        <f t="shared" si="13"/>
        <v>0</v>
      </c>
      <c r="AO35" s="59">
        <f t="shared" si="14"/>
        <v>0</v>
      </c>
      <c r="AP35" s="59">
        <f t="shared" si="15"/>
        <v>0</v>
      </c>
      <c r="AQ35" s="59">
        <f t="shared" si="16"/>
        <v>0</v>
      </c>
      <c r="AR35" s="256">
        <f t="shared" si="17"/>
        <v>0</v>
      </c>
      <c r="AS35" s="245">
        <f t="shared" si="18"/>
        <v>54734.15314285718</v>
      </c>
      <c r="AT35" s="254">
        <f t="shared" si="19"/>
        <v>0</v>
      </c>
      <c r="AU35" s="236">
        <f t="shared" si="20"/>
        <v>83146.92018279253</v>
      </c>
      <c r="AV35" s="59">
        <f t="shared" si="21"/>
        <v>0</v>
      </c>
      <c r="AW35" s="59">
        <f t="shared" si="22"/>
        <v>17199.999999999865</v>
      </c>
      <c r="AX35" s="59">
        <f t="shared" si="23"/>
        <v>0</v>
      </c>
      <c r="AY35" s="256">
        <v>140000</v>
      </c>
      <c r="AZ35" s="258">
        <v>46250</v>
      </c>
      <c r="BA35" s="258">
        <v>4320.1500000000015</v>
      </c>
      <c r="BB35" s="236"/>
      <c r="BC35" s="59"/>
      <c r="BD35" s="60">
        <v>0</v>
      </c>
      <c r="BE35" s="58">
        <f t="shared" si="24"/>
        <v>1288513.1684332183</v>
      </c>
      <c r="BF35" s="59">
        <f t="shared" si="25"/>
        <v>246506.09891806662</v>
      </c>
      <c r="BG35" s="59">
        <f t="shared" si="26"/>
        <v>190570.15</v>
      </c>
      <c r="BH35" s="60">
        <f t="shared" si="27"/>
        <v>83146.92018279253</v>
      </c>
      <c r="BI35" s="34">
        <f t="shared" si="28"/>
        <v>1725589.4173512848</v>
      </c>
      <c r="BJ35" s="59">
        <f t="shared" si="29"/>
        <v>1725589.4173512848</v>
      </c>
      <c r="BK35" s="60">
        <f t="shared" si="30"/>
        <v>0</v>
      </c>
      <c r="BL35" s="58">
        <f t="shared" si="31"/>
        <v>1535019.2673512849</v>
      </c>
      <c r="BM35" s="59">
        <v>3790.171007591444</v>
      </c>
      <c r="BN35" s="59">
        <v>3739.2881729857822</v>
      </c>
      <c r="BO35" s="33">
        <f t="shared" si="32"/>
        <v>0.013607625904112177</v>
      </c>
      <c r="BP35" s="204">
        <f t="shared" si="33"/>
        <v>0</v>
      </c>
      <c r="BQ35" s="60">
        <f t="shared" si="34"/>
        <v>0</v>
      </c>
      <c r="BR35" s="205">
        <f t="shared" si="35"/>
        <v>1725589.4173512848</v>
      </c>
      <c r="BS35" s="91">
        <f t="shared" si="36"/>
        <v>0</v>
      </c>
      <c r="BT35" s="91">
        <f t="shared" si="37"/>
        <v>494.09999999999997</v>
      </c>
      <c r="BU35" s="97">
        <f t="shared" si="38"/>
        <v>1725095.3173512847</v>
      </c>
      <c r="BV35" s="10"/>
      <c r="BW35" s="116">
        <f>VLOOKUP(A35,'EYSFF Universal Hrs'!$A$159:$W$216,23,0)</f>
        <v>165667.5343032804</v>
      </c>
      <c r="BX35" s="385">
        <f>VLOOKUP(A35,'EYSFF Extended Hrs'!$A$115:$W$172,11,0)</f>
        <v>0</v>
      </c>
      <c r="BY35" s="135"/>
      <c r="BZ35" s="23"/>
      <c r="CA35" s="225">
        <f>VLOOKUP(A35,'Top Up SEN'!A:E,5,0)</f>
        <v>26100</v>
      </c>
      <c r="CB35" s="225">
        <f>VLOOKUP(A35,'2% threshold'!A:H,8,0)</f>
        <v>0</v>
      </c>
      <c r="CC35" s="212"/>
      <c r="CD35" s="433">
        <f>VLOOKUP(A35,'[4]Pupil Premuim'!$B:$G,6,0)</f>
        <v>109560</v>
      </c>
      <c r="CE35" s="433">
        <f>VLOOKUP(A35,'[4]Pupil Premuim'!$K:$P,6,0)</f>
        <v>14700</v>
      </c>
      <c r="CF35" s="433">
        <f>VLOOKUP(A35,'[4]Pupil Premuim'!$T:$Z,7,0)</f>
        <v>13800</v>
      </c>
      <c r="CG35" s="433">
        <f>VLOOKUP(A35,'[4]PE+Sports'!$B$5:$P$54,15,0)</f>
        <v>19500</v>
      </c>
      <c r="CH35" s="433">
        <f>VLOOKUP(A35,'[4]UIFSM'!$B$5:$K$43,10,0)</f>
        <v>62491</v>
      </c>
      <c r="CI35" s="433"/>
      <c r="CJ35" s="433"/>
      <c r="CK35" s="433"/>
    </row>
    <row r="36" spans="1:89" ht="15">
      <c r="A36" s="37">
        <v>2084</v>
      </c>
      <c r="B36" s="10" t="s">
        <v>29</v>
      </c>
      <c r="C36" s="251">
        <v>618</v>
      </c>
      <c r="D36" s="254">
        <v>618</v>
      </c>
      <c r="E36" s="254">
        <v>0</v>
      </c>
      <c r="F36" s="254">
        <v>0</v>
      </c>
      <c r="G36" s="238">
        <v>0</v>
      </c>
      <c r="H36" s="254">
        <v>227.08389261744966</v>
      </c>
      <c r="I36" s="238">
        <v>0</v>
      </c>
      <c r="J36" s="254">
        <v>46</v>
      </c>
      <c r="K36" s="238">
        <v>114.99999999999999</v>
      </c>
      <c r="L36" s="254">
        <v>124.0000000000003</v>
      </c>
      <c r="M36" s="238">
        <v>243.00000000000023</v>
      </c>
      <c r="N36" s="254">
        <v>14.000000000000004</v>
      </c>
      <c r="O36" s="238">
        <v>0</v>
      </c>
      <c r="P36" s="254">
        <v>0</v>
      </c>
      <c r="Q36" s="238">
        <v>0</v>
      </c>
      <c r="R36" s="254">
        <v>0</v>
      </c>
      <c r="S36" s="254">
        <v>0</v>
      </c>
      <c r="T36" s="238">
        <v>0</v>
      </c>
      <c r="U36" s="254">
        <v>0</v>
      </c>
      <c r="V36" s="238">
        <v>136.42641509433957</v>
      </c>
      <c r="W36" s="254">
        <v>0</v>
      </c>
      <c r="X36" s="248">
        <v>138.02356265924004</v>
      </c>
      <c r="Y36" s="248">
        <v>0</v>
      </c>
      <c r="Z36" s="248">
        <v>13.200000000000074</v>
      </c>
      <c r="AA36" s="241">
        <v>0</v>
      </c>
      <c r="AB36" s="58">
        <f t="shared" si="1"/>
        <v>1966175.6496092072</v>
      </c>
      <c r="AC36" s="59">
        <f t="shared" si="2"/>
        <v>0</v>
      </c>
      <c r="AD36" s="59">
        <f t="shared" si="3"/>
        <v>0</v>
      </c>
      <c r="AE36" s="59">
        <f t="shared" si="4"/>
        <v>226593.391409396</v>
      </c>
      <c r="AF36" s="59">
        <f t="shared" si="5"/>
        <v>0</v>
      </c>
      <c r="AG36" s="59">
        <f t="shared" si="6"/>
        <v>2994.6</v>
      </c>
      <c r="AH36" s="59">
        <f t="shared" si="7"/>
        <v>14972.999999999996</v>
      </c>
      <c r="AI36" s="59">
        <f t="shared" si="8"/>
        <v>24217.20000000006</v>
      </c>
      <c r="AJ36" s="59">
        <f t="shared" si="9"/>
        <v>63277.200000000055</v>
      </c>
      <c r="AK36" s="59">
        <f t="shared" si="10"/>
        <v>4557.000000000001</v>
      </c>
      <c r="AL36" s="59">
        <f t="shared" si="11"/>
        <v>0</v>
      </c>
      <c r="AM36" s="59">
        <f t="shared" si="12"/>
        <v>0</v>
      </c>
      <c r="AN36" s="59">
        <f t="shared" si="13"/>
        <v>0</v>
      </c>
      <c r="AO36" s="59">
        <f t="shared" si="14"/>
        <v>0</v>
      </c>
      <c r="AP36" s="59">
        <f t="shared" si="15"/>
        <v>0</v>
      </c>
      <c r="AQ36" s="59">
        <f t="shared" si="16"/>
        <v>0</v>
      </c>
      <c r="AR36" s="256">
        <f t="shared" si="17"/>
        <v>0</v>
      </c>
      <c r="AS36" s="245">
        <f t="shared" si="18"/>
        <v>100830.03486792449</v>
      </c>
      <c r="AT36" s="254">
        <f t="shared" si="19"/>
        <v>0</v>
      </c>
      <c r="AU36" s="236">
        <f t="shared" si="20"/>
        <v>151825.91892516403</v>
      </c>
      <c r="AV36" s="59">
        <f t="shared" si="21"/>
        <v>0</v>
      </c>
      <c r="AW36" s="59">
        <f t="shared" si="22"/>
        <v>10560.000000000058</v>
      </c>
      <c r="AX36" s="59">
        <f t="shared" si="23"/>
        <v>0</v>
      </c>
      <c r="AY36" s="256">
        <v>140000</v>
      </c>
      <c r="AZ36" s="258">
        <v>72000</v>
      </c>
      <c r="BA36" s="258">
        <v>18219.55</v>
      </c>
      <c r="BB36" s="236"/>
      <c r="BC36" s="59"/>
      <c r="BD36" s="60">
        <v>0</v>
      </c>
      <c r="BE36" s="58">
        <f t="shared" si="24"/>
        <v>1966175.6496092072</v>
      </c>
      <c r="BF36" s="59">
        <f t="shared" si="25"/>
        <v>599828.3452024846</v>
      </c>
      <c r="BG36" s="59">
        <f t="shared" si="26"/>
        <v>230219.55</v>
      </c>
      <c r="BH36" s="60">
        <f t="shared" si="27"/>
        <v>151825.91892516403</v>
      </c>
      <c r="BI36" s="34">
        <f t="shared" si="28"/>
        <v>2796223.5448116916</v>
      </c>
      <c r="BJ36" s="59">
        <f t="shared" si="29"/>
        <v>2796223.5448116916</v>
      </c>
      <c r="BK36" s="60">
        <f t="shared" si="30"/>
        <v>0</v>
      </c>
      <c r="BL36" s="58">
        <f t="shared" si="31"/>
        <v>2566003.994811692</v>
      </c>
      <c r="BM36" s="59">
        <v>4152.109749556945</v>
      </c>
      <c r="BN36" s="59">
        <v>4083.4619949152534</v>
      </c>
      <c r="BO36" s="33">
        <f t="shared" si="32"/>
        <v>0.01681116531197593</v>
      </c>
      <c r="BP36" s="204">
        <f t="shared" si="33"/>
        <v>0</v>
      </c>
      <c r="BQ36" s="60">
        <f t="shared" si="34"/>
        <v>0</v>
      </c>
      <c r="BR36" s="205">
        <f t="shared" si="35"/>
        <v>2796223.5448116916</v>
      </c>
      <c r="BS36" s="91">
        <f t="shared" si="36"/>
        <v>0</v>
      </c>
      <c r="BT36" s="91">
        <f t="shared" si="37"/>
        <v>753.96</v>
      </c>
      <c r="BU36" s="97">
        <f t="shared" si="38"/>
        <v>2795469.5848116917</v>
      </c>
      <c r="BV36" s="10"/>
      <c r="BW36" s="116">
        <f>VLOOKUP(A36,'EYSFF Universal Hrs'!$A$159:$W$216,23,0)</f>
        <v>226587.31018996253</v>
      </c>
      <c r="BX36" s="385">
        <f>VLOOKUP(A36,'EYSFF Extended Hrs'!$A$115:$W$172,11,0)</f>
        <v>50833.017318465456</v>
      </c>
      <c r="BY36" s="23">
        <v>63160</v>
      </c>
      <c r="BZ36" s="23"/>
      <c r="CA36" s="225">
        <f>VLOOKUP(A36,'Top Up SEN'!A:E,5,0)</f>
        <v>85842</v>
      </c>
      <c r="CB36" s="225">
        <f>VLOOKUP(A36,'2% threshold'!A:H,8,0)</f>
        <v>0</v>
      </c>
      <c r="CC36" s="212"/>
      <c r="CD36" s="433">
        <f>VLOOKUP(A36,'[4]Pupil Premuim'!$B:$G,6,0)</f>
        <v>283800</v>
      </c>
      <c r="CE36" s="433">
        <v>0</v>
      </c>
      <c r="CF36" s="433">
        <f>VLOOKUP(A36,'[4]Pupil Premuim'!$T:$Z,7,0)</f>
        <v>13800</v>
      </c>
      <c r="CG36" s="433">
        <f>VLOOKUP(A36,'[4]PE+Sports'!$B$5:$P$54,15,0)</f>
        <v>21310</v>
      </c>
      <c r="CH36" s="433">
        <f>VLOOKUP(A36,'[4]UIFSM'!$B$5:$K$43,10,0)</f>
        <v>84341</v>
      </c>
      <c r="CI36" s="433"/>
      <c r="CJ36" s="433"/>
      <c r="CK36" s="433"/>
    </row>
    <row r="37" spans="1:89" ht="15">
      <c r="A37" s="37">
        <v>3300</v>
      </c>
      <c r="B37" s="115" t="s">
        <v>98</v>
      </c>
      <c r="C37" s="251">
        <v>334</v>
      </c>
      <c r="D37" s="254">
        <v>334</v>
      </c>
      <c r="E37" s="254">
        <v>0</v>
      </c>
      <c r="F37" s="254">
        <v>0</v>
      </c>
      <c r="G37" s="238">
        <v>0</v>
      </c>
      <c r="H37" s="254">
        <v>53.87096774193548</v>
      </c>
      <c r="I37" s="238">
        <v>0</v>
      </c>
      <c r="J37" s="254">
        <v>28.999999999999993</v>
      </c>
      <c r="K37" s="238">
        <v>27.999999999999993</v>
      </c>
      <c r="L37" s="254">
        <v>5.999999999999992</v>
      </c>
      <c r="M37" s="238">
        <v>2.0000000000000004</v>
      </c>
      <c r="N37" s="254">
        <v>2.0000000000000004</v>
      </c>
      <c r="O37" s="238">
        <v>0</v>
      </c>
      <c r="P37" s="254">
        <v>0</v>
      </c>
      <c r="Q37" s="238">
        <v>0</v>
      </c>
      <c r="R37" s="254">
        <v>0</v>
      </c>
      <c r="S37" s="254">
        <v>0</v>
      </c>
      <c r="T37" s="238">
        <v>0</v>
      </c>
      <c r="U37" s="254">
        <v>0</v>
      </c>
      <c r="V37" s="238">
        <v>30.778156996587043</v>
      </c>
      <c r="W37" s="254">
        <v>0</v>
      </c>
      <c r="X37" s="248">
        <v>52.06207866806389</v>
      </c>
      <c r="Y37" s="248">
        <v>0</v>
      </c>
      <c r="Z37" s="248">
        <v>10.600000000000067</v>
      </c>
      <c r="AA37" s="241">
        <v>0</v>
      </c>
      <c r="AB37" s="58">
        <f aca="true" t="shared" si="39" ref="AB37:AB68">$AB$3*D37</f>
        <v>1062625.6747078886</v>
      </c>
      <c r="AC37" s="59">
        <f aca="true" t="shared" si="40" ref="AC37:AC68">$AC$3*F37</f>
        <v>0</v>
      </c>
      <c r="AD37" s="59">
        <f aca="true" t="shared" si="41" ref="AD37:AD68">$AD$3*G37</f>
        <v>0</v>
      </c>
      <c r="AE37" s="59">
        <f aca="true" t="shared" si="42" ref="AE37:AE68">$AE$3*H37</f>
        <v>53754.606451612904</v>
      </c>
      <c r="AF37" s="59">
        <f aca="true" t="shared" si="43" ref="AF37:AF68">AF$3*I37</f>
        <v>0</v>
      </c>
      <c r="AG37" s="59">
        <f aca="true" t="shared" si="44" ref="AG37:AG68">AG$3*J37</f>
        <v>1887.8999999999994</v>
      </c>
      <c r="AH37" s="59">
        <f aca="true" t="shared" si="45" ref="AH37:AH68">AH$3*K37</f>
        <v>3645.5999999999985</v>
      </c>
      <c r="AI37" s="59">
        <f aca="true" t="shared" si="46" ref="AI37:AI68">AI$3*L37</f>
        <v>1171.7999999999986</v>
      </c>
      <c r="AJ37" s="59">
        <f aca="true" t="shared" si="47" ref="AJ37:AJ68">AJ$3*M37</f>
        <v>520.8000000000001</v>
      </c>
      <c r="AK37" s="59">
        <f aca="true" t="shared" si="48" ref="AK37:AK68">AK$3*N37</f>
        <v>651.0000000000001</v>
      </c>
      <c r="AL37" s="59">
        <f aca="true" t="shared" si="49" ref="AL37:AL68">AL$3*O37</f>
        <v>0</v>
      </c>
      <c r="AM37" s="59">
        <f aca="true" t="shared" si="50" ref="AM37:AM68">AM$3*P37</f>
        <v>0</v>
      </c>
      <c r="AN37" s="59">
        <f aca="true" t="shared" si="51" ref="AN37:AN68">AN$3*Q37</f>
        <v>0</v>
      </c>
      <c r="AO37" s="59">
        <f aca="true" t="shared" si="52" ref="AO37:AO68">AO$3*R37</f>
        <v>0</v>
      </c>
      <c r="AP37" s="59">
        <f aca="true" t="shared" si="53" ref="AP37:AP68">AP$3*S37</f>
        <v>0</v>
      </c>
      <c r="AQ37" s="59">
        <f aca="true" t="shared" si="54" ref="AQ37:AQ68">AQ$3*T37</f>
        <v>0</v>
      </c>
      <c r="AR37" s="256">
        <f aca="true" t="shared" si="55" ref="AR37:AR68">AR$3*U37</f>
        <v>0</v>
      </c>
      <c r="AS37" s="245">
        <f aca="true" t="shared" si="56" ref="AS37:AS68">SUM(V37)*$AS$3</f>
        <v>22747.520273037553</v>
      </c>
      <c r="AT37" s="254">
        <f aca="true" t="shared" si="57" ref="AT37:AT68">SUM(W37)*$AT$3</f>
        <v>0</v>
      </c>
      <c r="AU37" s="236">
        <f aca="true" t="shared" si="58" ref="AU37:AU68">$AU$3*X37</f>
        <v>57268.286534870276</v>
      </c>
      <c r="AV37" s="59">
        <f aca="true" t="shared" si="59" ref="AV37:AV68">$AV$3*Y37</f>
        <v>0</v>
      </c>
      <c r="AW37" s="59">
        <f aca="true" t="shared" si="60" ref="AW37:AW68">$AW$3*Z37</f>
        <v>8480.000000000055</v>
      </c>
      <c r="AX37" s="59">
        <f aca="true" t="shared" si="61" ref="AX37:AX68">$AX$3*AA37</f>
        <v>0</v>
      </c>
      <c r="AY37" s="256">
        <v>140000</v>
      </c>
      <c r="AZ37" s="258">
        <v>5424</v>
      </c>
      <c r="BA37" s="258">
        <v>-245.64</v>
      </c>
      <c r="BB37" s="236"/>
      <c r="BC37" s="59"/>
      <c r="BD37" s="60">
        <v>0</v>
      </c>
      <c r="BE37" s="58">
        <f aca="true" t="shared" si="62" ref="BE37:BE68">SUM(AB37:AD37)</f>
        <v>1062625.6747078886</v>
      </c>
      <c r="BF37" s="59">
        <f aca="true" t="shared" si="63" ref="BF37:BF68">SUM(AE37:AX37)</f>
        <v>150127.51325952078</v>
      </c>
      <c r="BG37" s="59">
        <f aca="true" t="shared" si="64" ref="BG37:BG68">SUM(AY37:BD37)</f>
        <v>145178.36</v>
      </c>
      <c r="BH37" s="60">
        <f aca="true" t="shared" si="65" ref="BH37:BH68">SUM(AU37:AV37)</f>
        <v>57268.286534870276</v>
      </c>
      <c r="BI37" s="34">
        <f aca="true" t="shared" si="66" ref="BI37:BI68">SUM(BE37:BG37)</f>
        <v>1357931.5479674092</v>
      </c>
      <c r="BJ37" s="59">
        <f aca="true" t="shared" si="67" ref="BJ37:BJ68">SUM(D37/C37*BI37)</f>
        <v>1357931.5479674092</v>
      </c>
      <c r="BK37" s="60">
        <f aca="true" t="shared" si="68" ref="BK37:BK68">SUM(E37/C37*BI37)</f>
        <v>0</v>
      </c>
      <c r="BL37" s="58">
        <f aca="true" t="shared" si="69" ref="BL37:BL68">BI37-BA37-AZ37-AY37-BD37</f>
        <v>1212753.1879674091</v>
      </c>
      <c r="BM37" s="59">
        <v>3630.9975599937407</v>
      </c>
      <c r="BN37" s="59">
        <v>3523.8178452449565</v>
      </c>
      <c r="BO37" s="33">
        <f aca="true" t="shared" si="70" ref="BO37:BO68">(BM37-BN37)/BN37</f>
        <v>0.03041579316973281</v>
      </c>
      <c r="BP37" s="204">
        <f aca="true" t="shared" si="71" ref="BP37:BP68">IF(BO37&gt;-0.015,0,-0.015-BO37)</f>
        <v>0</v>
      </c>
      <c r="BQ37" s="60">
        <f aca="true" t="shared" si="72" ref="BQ37:BQ68">BN37*BP37*C37</f>
        <v>0</v>
      </c>
      <c r="BR37" s="205">
        <f aca="true" t="shared" si="73" ref="BR37:BR68">BI37+BQ37</f>
        <v>1357931.5479674092</v>
      </c>
      <c r="BS37" s="91">
        <f aca="true" t="shared" si="74" ref="BS37:BS55">$BS$3*C37</f>
        <v>0</v>
      </c>
      <c r="BT37" s="91">
        <f aca="true" t="shared" si="75" ref="BT37:BT55">$BT$3*C37</f>
        <v>407.48</v>
      </c>
      <c r="BU37" s="97">
        <f aca="true" t="shared" si="76" ref="BU37:BU68">BR37-BS37-BT37</f>
        <v>1357524.0679674093</v>
      </c>
      <c r="BV37" s="10"/>
      <c r="BW37" s="116">
        <f>VLOOKUP(A37,'EYSFF Universal Hrs'!$A$159:$W$216,23,0)</f>
        <v>82747.54590667486</v>
      </c>
      <c r="BX37" s="385">
        <f>VLOOKUP(A37,'EYSFF Extended Hrs'!$A$115:$W$172,11,0)</f>
        <v>27479.01618289203</v>
      </c>
      <c r="BY37" s="23"/>
      <c r="BZ37" s="23"/>
      <c r="CA37" s="225">
        <f>VLOOKUP(A37,'Top Up SEN'!A:E,5,0)</f>
        <v>86551</v>
      </c>
      <c r="CB37" s="225">
        <f>VLOOKUP(A37,'2% threshold'!A:H,8,0)</f>
        <v>30000</v>
      </c>
      <c r="CC37" s="212"/>
      <c r="CD37" s="433">
        <f>VLOOKUP(A37,'[4]Pupil Premuim'!$B:$G,6,0)</f>
        <v>71280</v>
      </c>
      <c r="CE37" s="433">
        <f>VLOOKUP(A37,'[4]Pupil Premuim'!$K:$P,6,0)</f>
        <v>9300</v>
      </c>
      <c r="CF37" s="433">
        <f>VLOOKUP(A37,'[4]Pupil Premuim'!$T:$Z,7,0)</f>
        <v>2300</v>
      </c>
      <c r="CG37" s="433">
        <f>VLOOKUP(A37,'[4]PE+Sports'!$B$5:$P$54,15,0)</f>
        <v>18930</v>
      </c>
      <c r="CH37" s="433">
        <f>VLOOKUP(A37,'[4]UIFSM'!$B$5:$K$43,10,0)</f>
        <v>44574</v>
      </c>
      <c r="CI37" s="433"/>
      <c r="CJ37" s="433"/>
      <c r="CK37" s="433"/>
    </row>
    <row r="38" spans="1:89" ht="15">
      <c r="A38" s="37">
        <v>3302</v>
      </c>
      <c r="B38" s="115" t="s">
        <v>30</v>
      </c>
      <c r="C38" s="251">
        <v>207</v>
      </c>
      <c r="D38" s="254">
        <v>207</v>
      </c>
      <c r="E38" s="254">
        <v>0</v>
      </c>
      <c r="F38" s="254">
        <v>0</v>
      </c>
      <c r="G38" s="238">
        <v>0</v>
      </c>
      <c r="H38" s="254">
        <v>25.36764705882353</v>
      </c>
      <c r="I38" s="238">
        <v>0</v>
      </c>
      <c r="J38" s="254">
        <v>23.99999999999995</v>
      </c>
      <c r="K38" s="238">
        <v>8.000000000000004</v>
      </c>
      <c r="L38" s="254">
        <v>0</v>
      </c>
      <c r="M38" s="238">
        <v>0</v>
      </c>
      <c r="N38" s="254">
        <v>0</v>
      </c>
      <c r="O38" s="238">
        <v>0</v>
      </c>
      <c r="P38" s="254">
        <v>0</v>
      </c>
      <c r="Q38" s="238">
        <v>0</v>
      </c>
      <c r="R38" s="254">
        <v>0</v>
      </c>
      <c r="S38" s="254">
        <v>0</v>
      </c>
      <c r="T38" s="238">
        <v>0</v>
      </c>
      <c r="U38" s="254">
        <v>0</v>
      </c>
      <c r="V38" s="238">
        <v>28.06779661016948</v>
      </c>
      <c r="W38" s="254">
        <v>0</v>
      </c>
      <c r="X38" s="248">
        <v>20.803523048373116</v>
      </c>
      <c r="Y38" s="248">
        <v>0</v>
      </c>
      <c r="Z38" s="248">
        <v>0</v>
      </c>
      <c r="AA38" s="241">
        <v>0</v>
      </c>
      <c r="AB38" s="58">
        <f t="shared" si="39"/>
        <v>658573.3971992005</v>
      </c>
      <c r="AC38" s="59">
        <f t="shared" si="40"/>
        <v>0</v>
      </c>
      <c r="AD38" s="59">
        <f t="shared" si="41"/>
        <v>0</v>
      </c>
      <c r="AE38" s="59">
        <f t="shared" si="42"/>
        <v>25312.852941176472</v>
      </c>
      <c r="AF38" s="59">
        <f t="shared" si="43"/>
        <v>0</v>
      </c>
      <c r="AG38" s="59">
        <f t="shared" si="44"/>
        <v>1562.3999999999967</v>
      </c>
      <c r="AH38" s="59">
        <f t="shared" si="45"/>
        <v>1041.6000000000004</v>
      </c>
      <c r="AI38" s="59">
        <f t="shared" si="46"/>
        <v>0</v>
      </c>
      <c r="AJ38" s="59">
        <f t="shared" si="47"/>
        <v>0</v>
      </c>
      <c r="AK38" s="59">
        <f t="shared" si="48"/>
        <v>0</v>
      </c>
      <c r="AL38" s="59">
        <f t="shared" si="49"/>
        <v>0</v>
      </c>
      <c r="AM38" s="59">
        <f t="shared" si="50"/>
        <v>0</v>
      </c>
      <c r="AN38" s="59">
        <f t="shared" si="51"/>
        <v>0</v>
      </c>
      <c r="AO38" s="59">
        <f t="shared" si="52"/>
        <v>0</v>
      </c>
      <c r="AP38" s="59">
        <f t="shared" si="53"/>
        <v>0</v>
      </c>
      <c r="AQ38" s="59">
        <f t="shared" si="54"/>
        <v>0</v>
      </c>
      <c r="AR38" s="256">
        <f t="shared" si="55"/>
        <v>0</v>
      </c>
      <c r="AS38" s="245">
        <f t="shared" si="56"/>
        <v>20744.347118644062</v>
      </c>
      <c r="AT38" s="254">
        <f t="shared" si="57"/>
        <v>0</v>
      </c>
      <c r="AU38" s="236">
        <f t="shared" si="58"/>
        <v>22883.875353210427</v>
      </c>
      <c r="AV38" s="59">
        <f t="shared" si="59"/>
        <v>0</v>
      </c>
      <c r="AW38" s="59">
        <f t="shared" si="60"/>
        <v>0</v>
      </c>
      <c r="AX38" s="59">
        <f t="shared" si="61"/>
        <v>0</v>
      </c>
      <c r="AY38" s="256">
        <v>140000</v>
      </c>
      <c r="AZ38" s="258">
        <v>2856</v>
      </c>
      <c r="BA38" s="258">
        <v>-521.06</v>
      </c>
      <c r="BB38" s="236"/>
      <c r="BC38" s="59"/>
      <c r="BD38" s="60">
        <v>0</v>
      </c>
      <c r="BE38" s="58">
        <f t="shared" si="62"/>
        <v>658573.3971992005</v>
      </c>
      <c r="BF38" s="59">
        <f t="shared" si="63"/>
        <v>71545.07541303097</v>
      </c>
      <c r="BG38" s="59">
        <f t="shared" si="64"/>
        <v>142334.94</v>
      </c>
      <c r="BH38" s="60">
        <f t="shared" si="65"/>
        <v>22883.875353210427</v>
      </c>
      <c r="BI38" s="34">
        <f t="shared" si="66"/>
        <v>872453.4126122314</v>
      </c>
      <c r="BJ38" s="59">
        <f t="shared" si="67"/>
        <v>872453.4126122314</v>
      </c>
      <c r="BK38" s="60">
        <f t="shared" si="68"/>
        <v>0</v>
      </c>
      <c r="BL38" s="58">
        <f t="shared" si="69"/>
        <v>730118.4726122315</v>
      </c>
      <c r="BM38" s="59">
        <v>3527.142379769234</v>
      </c>
      <c r="BN38" s="59">
        <v>3381.518777560975</v>
      </c>
      <c r="BO38" s="33">
        <f t="shared" si="70"/>
        <v>0.043064555244993925</v>
      </c>
      <c r="BP38" s="204">
        <f t="shared" si="71"/>
        <v>0</v>
      </c>
      <c r="BQ38" s="60">
        <f t="shared" si="72"/>
        <v>0</v>
      </c>
      <c r="BR38" s="205">
        <f t="shared" si="73"/>
        <v>872453.4126122314</v>
      </c>
      <c r="BS38" s="91">
        <f t="shared" si="74"/>
        <v>0</v>
      </c>
      <c r="BT38" s="91">
        <f t="shared" si="75"/>
        <v>252.54</v>
      </c>
      <c r="BU38" s="97">
        <f t="shared" si="76"/>
        <v>872200.8726122314</v>
      </c>
      <c r="BV38" s="10"/>
      <c r="BW38" s="116">
        <f>VLOOKUP(A38,'EYSFF Universal Hrs'!$A$159:$W$216,23,0)</f>
        <v>61298.3409137646</v>
      </c>
      <c r="BX38" s="385">
        <f>VLOOKUP(A38,'EYSFF Extended Hrs'!$A$115:$W$172,11,0)</f>
        <v>0</v>
      </c>
      <c r="BY38" s="23"/>
      <c r="BZ38" s="23"/>
      <c r="CA38" s="225">
        <f>VLOOKUP(A38,'Top Up SEN'!A:E,5,0)</f>
        <v>23500</v>
      </c>
      <c r="CB38" s="225">
        <f>VLOOKUP(A38,'2% threshold'!A:H,8,0)</f>
        <v>6000</v>
      </c>
      <c r="CC38" s="212"/>
      <c r="CD38" s="433">
        <f>VLOOKUP(A38,'[4]Pupil Premuim'!$B:$G,6,0)</f>
        <v>33000</v>
      </c>
      <c r="CE38" s="433">
        <f>VLOOKUP(A38,'[4]Pupil Premuim'!$K:$P,6,0)</f>
        <v>900</v>
      </c>
      <c r="CF38" s="433">
        <f>VLOOKUP(A38,'[4]Pupil Premuim'!$T:$Z,7,0)</f>
        <v>9200</v>
      </c>
      <c r="CG38" s="433">
        <f>VLOOKUP(A38,'[4]PE+Sports'!$B$5:$P$54,15,0)</f>
        <v>17770</v>
      </c>
      <c r="CH38" s="433">
        <f>VLOOKUP(A38,'[4]UIFSM'!$B$5:$K$43,10,0)</f>
        <v>31901</v>
      </c>
      <c r="CI38" s="433"/>
      <c r="CJ38" s="433"/>
      <c r="CK38" s="433"/>
    </row>
    <row r="39" spans="1:89" ht="15">
      <c r="A39" s="37">
        <v>3307</v>
      </c>
      <c r="B39" s="10" t="s">
        <v>31</v>
      </c>
      <c r="C39" s="251">
        <v>407</v>
      </c>
      <c r="D39" s="254">
        <v>407</v>
      </c>
      <c r="E39" s="254">
        <v>0</v>
      </c>
      <c r="F39" s="254">
        <v>0</v>
      </c>
      <c r="G39" s="238">
        <v>0</v>
      </c>
      <c r="H39" s="254">
        <v>71.42067307692307</v>
      </c>
      <c r="I39" s="238">
        <v>0</v>
      </c>
      <c r="J39" s="254">
        <v>96.99999999999986</v>
      </c>
      <c r="K39" s="238">
        <v>107.00000000000004</v>
      </c>
      <c r="L39" s="254">
        <v>126.99999999999999</v>
      </c>
      <c r="M39" s="238">
        <v>21</v>
      </c>
      <c r="N39" s="254">
        <v>8.000000000000018</v>
      </c>
      <c r="O39" s="238">
        <v>0</v>
      </c>
      <c r="P39" s="254">
        <v>0</v>
      </c>
      <c r="Q39" s="238">
        <v>0</v>
      </c>
      <c r="R39" s="254">
        <v>0</v>
      </c>
      <c r="S39" s="254">
        <v>0</v>
      </c>
      <c r="T39" s="238">
        <v>0</v>
      </c>
      <c r="U39" s="254">
        <v>0</v>
      </c>
      <c r="V39" s="238">
        <v>101.147928994083</v>
      </c>
      <c r="W39" s="254">
        <v>0</v>
      </c>
      <c r="X39" s="248">
        <v>89.31348355449995</v>
      </c>
      <c r="Y39" s="248">
        <v>0</v>
      </c>
      <c r="Z39" s="248">
        <v>0</v>
      </c>
      <c r="AA39" s="241">
        <v>0</v>
      </c>
      <c r="AB39" s="58">
        <f t="shared" si="39"/>
        <v>1294876.196425481</v>
      </c>
      <c r="AC39" s="59">
        <f t="shared" si="40"/>
        <v>0</v>
      </c>
      <c r="AD39" s="59">
        <f t="shared" si="41"/>
        <v>0</v>
      </c>
      <c r="AE39" s="59">
        <f t="shared" si="42"/>
        <v>71266.40442307692</v>
      </c>
      <c r="AF39" s="59">
        <f t="shared" si="43"/>
        <v>0</v>
      </c>
      <c r="AG39" s="59">
        <f t="shared" si="44"/>
        <v>6314.69999999999</v>
      </c>
      <c r="AH39" s="59">
        <f t="shared" si="45"/>
        <v>13931.400000000005</v>
      </c>
      <c r="AI39" s="59">
        <f t="shared" si="46"/>
        <v>24803.1</v>
      </c>
      <c r="AJ39" s="59">
        <f t="shared" si="47"/>
        <v>5468.4</v>
      </c>
      <c r="AK39" s="59">
        <f t="shared" si="48"/>
        <v>2604.000000000006</v>
      </c>
      <c r="AL39" s="59">
        <f t="shared" si="49"/>
        <v>0</v>
      </c>
      <c r="AM39" s="59">
        <f t="shared" si="50"/>
        <v>0</v>
      </c>
      <c r="AN39" s="59">
        <f t="shared" si="51"/>
        <v>0</v>
      </c>
      <c r="AO39" s="59">
        <f t="shared" si="52"/>
        <v>0</v>
      </c>
      <c r="AP39" s="59">
        <f t="shared" si="53"/>
        <v>0</v>
      </c>
      <c r="AQ39" s="59">
        <f t="shared" si="54"/>
        <v>0</v>
      </c>
      <c r="AR39" s="256">
        <f t="shared" si="55"/>
        <v>0</v>
      </c>
      <c r="AS39" s="245">
        <f t="shared" si="56"/>
        <v>74756.41136094688</v>
      </c>
      <c r="AT39" s="254">
        <f t="shared" si="57"/>
        <v>0</v>
      </c>
      <c r="AU39" s="236">
        <f t="shared" si="58"/>
        <v>98244.83190994995</v>
      </c>
      <c r="AV39" s="59">
        <f t="shared" si="59"/>
        <v>0</v>
      </c>
      <c r="AW39" s="59">
        <f t="shared" si="60"/>
        <v>0</v>
      </c>
      <c r="AX39" s="59">
        <f t="shared" si="61"/>
        <v>0</v>
      </c>
      <c r="AY39" s="256">
        <v>140000</v>
      </c>
      <c r="AZ39" s="258">
        <v>7008</v>
      </c>
      <c r="BA39" s="258">
        <v>-1495.6</v>
      </c>
      <c r="BB39" s="236"/>
      <c r="BC39" s="59"/>
      <c r="BD39" s="60">
        <v>0</v>
      </c>
      <c r="BE39" s="58">
        <f t="shared" si="62"/>
        <v>1294876.196425481</v>
      </c>
      <c r="BF39" s="59">
        <f t="shared" si="63"/>
        <v>297389.2476939737</v>
      </c>
      <c r="BG39" s="59">
        <f t="shared" si="64"/>
        <v>145512.4</v>
      </c>
      <c r="BH39" s="60">
        <f t="shared" si="65"/>
        <v>98244.83190994995</v>
      </c>
      <c r="BI39" s="34">
        <f t="shared" si="66"/>
        <v>1737777.8441194547</v>
      </c>
      <c r="BJ39" s="59">
        <f t="shared" si="67"/>
        <v>1737777.8441194547</v>
      </c>
      <c r="BK39" s="60">
        <f t="shared" si="68"/>
        <v>0</v>
      </c>
      <c r="BL39" s="58">
        <f t="shared" si="69"/>
        <v>1592265.4441194548</v>
      </c>
      <c r="BM39" s="59">
        <v>3912.2000588168416</v>
      </c>
      <c r="BN39" s="59">
        <v>3796.8157973493976</v>
      </c>
      <c r="BO39" s="33">
        <f t="shared" si="70"/>
        <v>0.030389744361049905</v>
      </c>
      <c r="BP39" s="204">
        <f t="shared" si="71"/>
        <v>0</v>
      </c>
      <c r="BQ39" s="60">
        <f t="shared" si="72"/>
        <v>0</v>
      </c>
      <c r="BR39" s="205">
        <f t="shared" si="73"/>
        <v>1737777.8441194547</v>
      </c>
      <c r="BS39" s="91">
        <f t="shared" si="74"/>
        <v>0</v>
      </c>
      <c r="BT39" s="91">
        <f t="shared" si="75"/>
        <v>496.53999999999996</v>
      </c>
      <c r="BU39" s="97">
        <f t="shared" si="76"/>
        <v>1737281.3041194547</v>
      </c>
      <c r="BV39" s="10"/>
      <c r="BW39" s="116">
        <f>VLOOKUP(A39,'EYSFF Universal Hrs'!$A$159:$W$216,23,0)</f>
        <v>151302.53987014346</v>
      </c>
      <c r="BX39" s="385">
        <f>VLOOKUP(A39,'EYSFF Extended Hrs'!$A$115:$W$172,11,0)</f>
        <v>0</v>
      </c>
      <c r="BY39" s="23"/>
      <c r="BZ39" s="23"/>
      <c r="CA39" s="225">
        <f>VLOOKUP(A39,'Top Up SEN'!A:E,5,0)</f>
        <v>100559</v>
      </c>
      <c r="CB39" s="225">
        <f>VLOOKUP(A39,'2% threshold'!A:H,8,0)</f>
        <v>18000</v>
      </c>
      <c r="CC39" s="212"/>
      <c r="CD39" s="433">
        <f>VLOOKUP(A39,'[4]Pupil Premuim'!$B:$G,6,0)</f>
        <v>92400</v>
      </c>
      <c r="CE39" s="433">
        <v>0</v>
      </c>
      <c r="CF39" s="433">
        <f>VLOOKUP(A39,'[4]Pupil Premuim'!$T:$Z,7,0)</f>
        <v>11500</v>
      </c>
      <c r="CG39" s="433">
        <f>VLOOKUP(A39,'[4]PE+Sports'!$B$5:$P$54,15,0)</f>
        <v>19490</v>
      </c>
      <c r="CH39" s="433">
        <f>VLOOKUP(A39,'[4]UIFSM'!$B$5:$K$43,10,0)</f>
        <v>58995</v>
      </c>
      <c r="CI39" s="433"/>
      <c r="CJ39" s="433"/>
      <c r="CK39" s="433"/>
    </row>
    <row r="40" spans="1:89" ht="15">
      <c r="A40" s="37">
        <v>3400</v>
      </c>
      <c r="B40" s="115" t="s">
        <v>153</v>
      </c>
      <c r="C40" s="251">
        <v>207</v>
      </c>
      <c r="D40" s="254">
        <v>207</v>
      </c>
      <c r="E40" s="254">
        <v>0</v>
      </c>
      <c r="F40" s="254">
        <v>0</v>
      </c>
      <c r="G40" s="238">
        <v>0</v>
      </c>
      <c r="H40" s="254">
        <v>7.923444976076555</v>
      </c>
      <c r="I40" s="238">
        <v>0</v>
      </c>
      <c r="J40" s="254">
        <v>17</v>
      </c>
      <c r="K40" s="238">
        <v>11.999999999999996</v>
      </c>
      <c r="L40" s="254">
        <v>5.000000000000005</v>
      </c>
      <c r="M40" s="238">
        <v>0</v>
      </c>
      <c r="N40" s="254">
        <v>0</v>
      </c>
      <c r="O40" s="238">
        <v>0</v>
      </c>
      <c r="P40" s="254">
        <v>0</v>
      </c>
      <c r="Q40" s="238">
        <v>0</v>
      </c>
      <c r="R40" s="254">
        <v>0</v>
      </c>
      <c r="S40" s="254">
        <v>0</v>
      </c>
      <c r="T40" s="238">
        <v>0</v>
      </c>
      <c r="U40" s="254">
        <v>0</v>
      </c>
      <c r="V40" s="238">
        <v>28.06779661016948</v>
      </c>
      <c r="W40" s="254">
        <v>0</v>
      </c>
      <c r="X40" s="248">
        <v>16.250699333722963</v>
      </c>
      <c r="Y40" s="248">
        <v>0</v>
      </c>
      <c r="Z40" s="248">
        <v>0</v>
      </c>
      <c r="AA40" s="241">
        <v>0</v>
      </c>
      <c r="AB40" s="58">
        <f t="shared" si="39"/>
        <v>658573.3971992005</v>
      </c>
      <c r="AC40" s="59">
        <f t="shared" si="40"/>
        <v>0</v>
      </c>
      <c r="AD40" s="59">
        <f t="shared" si="41"/>
        <v>0</v>
      </c>
      <c r="AE40" s="59">
        <f t="shared" si="42"/>
        <v>7906.33033492823</v>
      </c>
      <c r="AF40" s="59">
        <f t="shared" si="43"/>
        <v>0</v>
      </c>
      <c r="AG40" s="59">
        <f t="shared" si="44"/>
        <v>1106.6999999999998</v>
      </c>
      <c r="AH40" s="59">
        <f t="shared" si="45"/>
        <v>1562.3999999999994</v>
      </c>
      <c r="AI40" s="59">
        <f t="shared" si="46"/>
        <v>976.5000000000011</v>
      </c>
      <c r="AJ40" s="59">
        <f t="shared" si="47"/>
        <v>0</v>
      </c>
      <c r="AK40" s="59">
        <f t="shared" si="48"/>
        <v>0</v>
      </c>
      <c r="AL40" s="59">
        <f t="shared" si="49"/>
        <v>0</v>
      </c>
      <c r="AM40" s="59">
        <f t="shared" si="50"/>
        <v>0</v>
      </c>
      <c r="AN40" s="59">
        <f t="shared" si="51"/>
        <v>0</v>
      </c>
      <c r="AO40" s="59">
        <f t="shared" si="52"/>
        <v>0</v>
      </c>
      <c r="AP40" s="59">
        <f t="shared" si="53"/>
        <v>0</v>
      </c>
      <c r="AQ40" s="59">
        <f t="shared" si="54"/>
        <v>0</v>
      </c>
      <c r="AR40" s="256">
        <f t="shared" si="55"/>
        <v>0</v>
      </c>
      <c r="AS40" s="245">
        <f t="shared" si="56"/>
        <v>20744.347118644062</v>
      </c>
      <c r="AT40" s="254">
        <f t="shared" si="57"/>
        <v>0</v>
      </c>
      <c r="AU40" s="236">
        <f t="shared" si="58"/>
        <v>17875.76926709526</v>
      </c>
      <c r="AV40" s="59">
        <f t="shared" si="59"/>
        <v>0</v>
      </c>
      <c r="AW40" s="59">
        <f t="shared" si="60"/>
        <v>0</v>
      </c>
      <c r="AX40" s="59">
        <f t="shared" si="61"/>
        <v>0</v>
      </c>
      <c r="AY40" s="256">
        <v>140000</v>
      </c>
      <c r="AZ40" s="258">
        <v>3384</v>
      </c>
      <c r="BA40" s="258">
        <v>460.59</v>
      </c>
      <c r="BB40" s="236"/>
      <c r="BC40" s="59"/>
      <c r="BD40" s="60">
        <v>0</v>
      </c>
      <c r="BE40" s="58">
        <f t="shared" si="62"/>
        <v>658573.3971992005</v>
      </c>
      <c r="BF40" s="59">
        <f t="shared" si="63"/>
        <v>50172.04672066755</v>
      </c>
      <c r="BG40" s="59">
        <f t="shared" si="64"/>
        <v>143844.59</v>
      </c>
      <c r="BH40" s="60">
        <f t="shared" si="65"/>
        <v>17875.76926709526</v>
      </c>
      <c r="BI40" s="34">
        <f t="shared" si="66"/>
        <v>852590.033919868</v>
      </c>
      <c r="BJ40" s="59">
        <f t="shared" si="67"/>
        <v>852590.033919868</v>
      </c>
      <c r="BK40" s="60">
        <f t="shared" si="68"/>
        <v>0</v>
      </c>
      <c r="BL40" s="58">
        <f t="shared" si="69"/>
        <v>708745.443919868</v>
      </c>
      <c r="BM40" s="59">
        <v>3423.8910334293137</v>
      </c>
      <c r="BN40" s="59">
        <v>3267.0306377990432</v>
      </c>
      <c r="BO40" s="33">
        <f t="shared" si="70"/>
        <v>0.048013138847067954</v>
      </c>
      <c r="BP40" s="204">
        <f t="shared" si="71"/>
        <v>0</v>
      </c>
      <c r="BQ40" s="60">
        <f t="shared" si="72"/>
        <v>0</v>
      </c>
      <c r="BR40" s="205">
        <f t="shared" si="73"/>
        <v>852590.033919868</v>
      </c>
      <c r="BS40" s="91">
        <f t="shared" si="74"/>
        <v>0</v>
      </c>
      <c r="BT40" s="91">
        <f t="shared" si="75"/>
        <v>252.54</v>
      </c>
      <c r="BU40" s="97">
        <f t="shared" si="76"/>
        <v>852337.4939198679</v>
      </c>
      <c r="BV40" s="10"/>
      <c r="BW40" s="116">
        <f>VLOOKUP(A40,'EYSFF Universal Hrs'!$A$159:$W$216,23,0)</f>
        <v>59153.51868001338</v>
      </c>
      <c r="BX40" s="385">
        <f>VLOOKUP(A40,'EYSFF Extended Hrs'!$A$115:$W$172,11,0)</f>
        <v>0</v>
      </c>
      <c r="BY40" s="23"/>
      <c r="BZ40" s="23"/>
      <c r="CA40" s="199">
        <f>VLOOKUP(A40,'Top Up SEN'!A:E,5,0)</f>
        <v>6100</v>
      </c>
      <c r="CB40" s="199">
        <f>VLOOKUP(A40,'2% threshold'!A:H,8,0)</f>
        <v>0</v>
      </c>
      <c r="CC40" s="212"/>
      <c r="CD40" s="433">
        <f>VLOOKUP(A40,'[4]Pupil Premuim'!$B:$G,6,0)</f>
        <v>10560</v>
      </c>
      <c r="CE40" s="433">
        <v>0</v>
      </c>
      <c r="CF40" s="433">
        <v>0</v>
      </c>
      <c r="CG40" s="433">
        <f>VLOOKUP(A40,'[4]PE+Sports'!$B$5:$P$54,15,0)</f>
        <v>17770</v>
      </c>
      <c r="CH40" s="433">
        <f>VLOOKUP(A40,'[4]UIFSM'!$B$5:$K$43,10,0)</f>
        <v>31901</v>
      </c>
      <c r="CI40" s="433"/>
      <c r="CJ40" s="433"/>
      <c r="CK40" s="433"/>
    </row>
    <row r="41" spans="1:89" ht="15">
      <c r="A41" s="37">
        <v>3401</v>
      </c>
      <c r="B41" s="115" t="s">
        <v>32</v>
      </c>
      <c r="C41" s="251">
        <v>616</v>
      </c>
      <c r="D41" s="254">
        <v>616</v>
      </c>
      <c r="E41" s="254">
        <v>0</v>
      </c>
      <c r="F41" s="254">
        <v>0</v>
      </c>
      <c r="G41" s="238">
        <v>0</v>
      </c>
      <c r="H41" s="254">
        <v>108.53333333333335</v>
      </c>
      <c r="I41" s="238">
        <v>0</v>
      </c>
      <c r="J41" s="254">
        <v>189.0000000000001</v>
      </c>
      <c r="K41" s="238">
        <v>112.99999999999972</v>
      </c>
      <c r="L41" s="254">
        <v>187.00000000000026</v>
      </c>
      <c r="M41" s="238">
        <v>30.999999999999986</v>
      </c>
      <c r="N41" s="254">
        <v>8.000000000000009</v>
      </c>
      <c r="O41" s="238">
        <v>0</v>
      </c>
      <c r="P41" s="254">
        <v>0</v>
      </c>
      <c r="Q41" s="238">
        <v>0</v>
      </c>
      <c r="R41" s="254">
        <v>0</v>
      </c>
      <c r="S41" s="254">
        <v>0</v>
      </c>
      <c r="T41" s="238">
        <v>0</v>
      </c>
      <c r="U41" s="254">
        <v>0</v>
      </c>
      <c r="V41" s="238">
        <v>209.22960151802633</v>
      </c>
      <c r="W41" s="254">
        <v>0</v>
      </c>
      <c r="X41" s="248">
        <v>139.3681268674698</v>
      </c>
      <c r="Y41" s="248">
        <v>0</v>
      </c>
      <c r="Z41" s="248">
        <v>0</v>
      </c>
      <c r="AA41" s="241">
        <v>0</v>
      </c>
      <c r="AB41" s="58">
        <f t="shared" si="39"/>
        <v>1959812.6216169442</v>
      </c>
      <c r="AC41" s="59">
        <f t="shared" si="40"/>
        <v>0</v>
      </c>
      <c r="AD41" s="59">
        <f t="shared" si="41"/>
        <v>0</v>
      </c>
      <c r="AE41" s="59">
        <f t="shared" si="42"/>
        <v>108298.90133333334</v>
      </c>
      <c r="AF41" s="59">
        <f t="shared" si="43"/>
        <v>0</v>
      </c>
      <c r="AG41" s="59">
        <f t="shared" si="44"/>
        <v>12303.900000000007</v>
      </c>
      <c r="AH41" s="59">
        <f t="shared" si="45"/>
        <v>14712.599999999962</v>
      </c>
      <c r="AI41" s="59">
        <f t="shared" si="46"/>
        <v>36521.10000000005</v>
      </c>
      <c r="AJ41" s="59">
        <f t="shared" si="47"/>
        <v>8072.399999999996</v>
      </c>
      <c r="AK41" s="59">
        <f t="shared" si="48"/>
        <v>2604.0000000000027</v>
      </c>
      <c r="AL41" s="59">
        <f t="shared" si="49"/>
        <v>0</v>
      </c>
      <c r="AM41" s="59">
        <f t="shared" si="50"/>
        <v>0</v>
      </c>
      <c r="AN41" s="59">
        <f t="shared" si="51"/>
        <v>0</v>
      </c>
      <c r="AO41" s="59">
        <f t="shared" si="52"/>
        <v>0</v>
      </c>
      <c r="AP41" s="59">
        <f t="shared" si="53"/>
        <v>0</v>
      </c>
      <c r="AQ41" s="59">
        <f t="shared" si="54"/>
        <v>0</v>
      </c>
      <c r="AR41" s="256">
        <f t="shared" si="55"/>
        <v>0</v>
      </c>
      <c r="AS41" s="245">
        <f t="shared" si="56"/>
        <v>154637.4138899429</v>
      </c>
      <c r="AT41" s="254">
        <f t="shared" si="57"/>
        <v>0</v>
      </c>
      <c r="AU41" s="236">
        <f t="shared" si="58"/>
        <v>153304.9395542168</v>
      </c>
      <c r="AV41" s="59">
        <f t="shared" si="59"/>
        <v>0</v>
      </c>
      <c r="AW41" s="59">
        <f t="shared" si="60"/>
        <v>0</v>
      </c>
      <c r="AX41" s="59">
        <f t="shared" si="61"/>
        <v>0</v>
      </c>
      <c r="AY41" s="256">
        <v>140000</v>
      </c>
      <c r="AZ41" s="258">
        <v>10400</v>
      </c>
      <c r="BA41" s="258">
        <v>179.2</v>
      </c>
      <c r="BB41" s="236"/>
      <c r="BC41" s="59"/>
      <c r="BD41" s="60">
        <v>0</v>
      </c>
      <c r="BE41" s="58">
        <f t="shared" si="62"/>
        <v>1959812.6216169442</v>
      </c>
      <c r="BF41" s="59">
        <f t="shared" si="63"/>
        <v>490455.2547774931</v>
      </c>
      <c r="BG41" s="59">
        <f t="shared" si="64"/>
        <v>150579.2</v>
      </c>
      <c r="BH41" s="60">
        <f t="shared" si="65"/>
        <v>153304.9395542168</v>
      </c>
      <c r="BI41" s="34">
        <f t="shared" si="66"/>
        <v>2600847.0763944373</v>
      </c>
      <c r="BJ41" s="59">
        <f t="shared" si="67"/>
        <v>2600847.0763944373</v>
      </c>
      <c r="BK41" s="60">
        <f t="shared" si="68"/>
        <v>0</v>
      </c>
      <c r="BL41" s="58">
        <f t="shared" si="69"/>
        <v>2450267.876394437</v>
      </c>
      <c r="BM41" s="59">
        <v>3977.7075482198657</v>
      </c>
      <c r="BN41" s="59">
        <v>3822.236597124601</v>
      </c>
      <c r="BO41" s="33">
        <f t="shared" si="70"/>
        <v>0.04067538655566816</v>
      </c>
      <c r="BP41" s="204">
        <f t="shared" si="71"/>
        <v>0</v>
      </c>
      <c r="BQ41" s="60">
        <f t="shared" si="72"/>
        <v>0</v>
      </c>
      <c r="BR41" s="205">
        <f t="shared" si="73"/>
        <v>2600847.0763944373</v>
      </c>
      <c r="BS41" s="91">
        <f t="shared" si="74"/>
        <v>0</v>
      </c>
      <c r="BT41" s="91">
        <f t="shared" si="75"/>
        <v>751.52</v>
      </c>
      <c r="BU41" s="97">
        <f t="shared" si="76"/>
        <v>2600095.5563944373</v>
      </c>
      <c r="BV41" s="10"/>
      <c r="BW41" s="116">
        <f>VLOOKUP(A41,'EYSFF Universal Hrs'!$A$159:$W$216,23,0)</f>
        <v>238653.08375022962</v>
      </c>
      <c r="BX41" s="385">
        <f>VLOOKUP(A41,'EYSFF Extended Hrs'!$A$115:$W$172,11,0)</f>
        <v>0</v>
      </c>
      <c r="BY41" s="23"/>
      <c r="BZ41" s="23"/>
      <c r="CA41" s="225">
        <f>VLOOKUP(A41,'Top Up SEN'!A:E,5,0)</f>
        <v>91159</v>
      </c>
      <c r="CB41" s="225">
        <f>VLOOKUP(A41,'2% threshold'!A:H,8,0)</f>
        <v>0</v>
      </c>
      <c r="CC41" s="212"/>
      <c r="CD41" s="433">
        <f>VLOOKUP(A41,'[4]Pupil Premuim'!$B:$G,6,0)</f>
        <v>142560</v>
      </c>
      <c r="CE41" s="433">
        <v>0</v>
      </c>
      <c r="CF41" s="433">
        <v>0</v>
      </c>
      <c r="CG41" s="433">
        <f>VLOOKUP(A41,'[4]PE+Sports'!$B$5:$P$54,15,0)</f>
        <v>21280</v>
      </c>
      <c r="CH41" s="433">
        <f>VLOOKUP(A41,'[4]UIFSM'!$B$5:$K$43,10,0)</f>
        <v>83467</v>
      </c>
      <c r="CI41" s="433"/>
      <c r="CJ41" s="433"/>
      <c r="CK41" s="433"/>
    </row>
    <row r="42" spans="1:89" ht="15">
      <c r="A42" s="37">
        <v>3402</v>
      </c>
      <c r="B42" s="10" t="s">
        <v>33</v>
      </c>
      <c r="C42" s="251">
        <v>410</v>
      </c>
      <c r="D42" s="254">
        <v>410</v>
      </c>
      <c r="E42" s="254">
        <v>0</v>
      </c>
      <c r="F42" s="254">
        <v>0</v>
      </c>
      <c r="G42" s="238">
        <v>0</v>
      </c>
      <c r="H42" s="254">
        <v>33.269689737470166</v>
      </c>
      <c r="I42" s="238">
        <v>0</v>
      </c>
      <c r="J42" s="254">
        <v>107.00000000000018</v>
      </c>
      <c r="K42" s="238">
        <v>64.0000000000001</v>
      </c>
      <c r="L42" s="254">
        <v>58.99999999999991</v>
      </c>
      <c r="M42" s="238">
        <v>4</v>
      </c>
      <c r="N42" s="254">
        <v>1.9999999999999978</v>
      </c>
      <c r="O42" s="238">
        <v>0</v>
      </c>
      <c r="P42" s="254">
        <v>0</v>
      </c>
      <c r="Q42" s="238">
        <v>0</v>
      </c>
      <c r="R42" s="254">
        <v>0</v>
      </c>
      <c r="S42" s="254">
        <v>0</v>
      </c>
      <c r="T42" s="238">
        <v>0</v>
      </c>
      <c r="U42" s="254">
        <v>0</v>
      </c>
      <c r="V42" s="238">
        <v>58.571428571428626</v>
      </c>
      <c r="W42" s="254">
        <v>0</v>
      </c>
      <c r="X42" s="248">
        <v>49.1497371428571</v>
      </c>
      <c r="Y42" s="248">
        <v>0</v>
      </c>
      <c r="Z42" s="248">
        <v>0</v>
      </c>
      <c r="AA42" s="241">
        <v>0</v>
      </c>
      <c r="AB42" s="58">
        <f t="shared" si="39"/>
        <v>1304420.7384138752</v>
      </c>
      <c r="AC42" s="59">
        <f t="shared" si="40"/>
        <v>0</v>
      </c>
      <c r="AD42" s="59">
        <f t="shared" si="41"/>
        <v>0</v>
      </c>
      <c r="AE42" s="59">
        <f t="shared" si="42"/>
        <v>33197.82720763723</v>
      </c>
      <c r="AF42" s="59">
        <f t="shared" si="43"/>
        <v>0</v>
      </c>
      <c r="AG42" s="59">
        <f t="shared" si="44"/>
        <v>6965.700000000012</v>
      </c>
      <c r="AH42" s="59">
        <f t="shared" si="45"/>
        <v>8332.800000000012</v>
      </c>
      <c r="AI42" s="59">
        <f t="shared" si="46"/>
        <v>11522.699999999983</v>
      </c>
      <c r="AJ42" s="59">
        <f t="shared" si="47"/>
        <v>1041.6</v>
      </c>
      <c r="AK42" s="59">
        <f t="shared" si="48"/>
        <v>650.9999999999993</v>
      </c>
      <c r="AL42" s="59">
        <f t="shared" si="49"/>
        <v>0</v>
      </c>
      <c r="AM42" s="59">
        <f t="shared" si="50"/>
        <v>0</v>
      </c>
      <c r="AN42" s="59">
        <f t="shared" si="51"/>
        <v>0</v>
      </c>
      <c r="AO42" s="59">
        <f t="shared" si="52"/>
        <v>0</v>
      </c>
      <c r="AP42" s="59">
        <f t="shared" si="53"/>
        <v>0</v>
      </c>
      <c r="AQ42" s="59">
        <f t="shared" si="54"/>
        <v>0</v>
      </c>
      <c r="AR42" s="256">
        <f t="shared" si="55"/>
        <v>0</v>
      </c>
      <c r="AS42" s="245">
        <f t="shared" si="56"/>
        <v>43288.97142857147</v>
      </c>
      <c r="AT42" s="254">
        <f t="shared" si="57"/>
        <v>0</v>
      </c>
      <c r="AU42" s="236">
        <f t="shared" si="58"/>
        <v>54064.71085714281</v>
      </c>
      <c r="AV42" s="59">
        <f t="shared" si="59"/>
        <v>0</v>
      </c>
      <c r="AW42" s="59">
        <f t="shared" si="60"/>
        <v>0</v>
      </c>
      <c r="AX42" s="59">
        <f t="shared" si="61"/>
        <v>0</v>
      </c>
      <c r="AY42" s="256">
        <v>140000</v>
      </c>
      <c r="AZ42" s="258">
        <v>4416</v>
      </c>
      <c r="BA42" s="258">
        <v>254.8</v>
      </c>
      <c r="BB42" s="236"/>
      <c r="BC42" s="59"/>
      <c r="BD42" s="60">
        <v>0</v>
      </c>
      <c r="BE42" s="58">
        <f t="shared" si="62"/>
        <v>1304420.7384138752</v>
      </c>
      <c r="BF42" s="59">
        <f t="shared" si="63"/>
        <v>159065.30949335152</v>
      </c>
      <c r="BG42" s="59">
        <f t="shared" si="64"/>
        <v>144670.8</v>
      </c>
      <c r="BH42" s="60">
        <f t="shared" si="65"/>
        <v>54064.71085714281</v>
      </c>
      <c r="BI42" s="34">
        <f t="shared" si="66"/>
        <v>1608156.8479072268</v>
      </c>
      <c r="BJ42" s="59">
        <f t="shared" si="67"/>
        <v>1608156.8479072268</v>
      </c>
      <c r="BK42" s="60">
        <f t="shared" si="68"/>
        <v>0</v>
      </c>
      <c r="BL42" s="58">
        <f t="shared" si="69"/>
        <v>1463486.0479072267</v>
      </c>
      <c r="BM42" s="59">
        <v>3569.4781553066505</v>
      </c>
      <c r="BN42" s="59">
        <v>3441.9797776190476</v>
      </c>
      <c r="BO42" s="33">
        <f t="shared" si="70"/>
        <v>0.037042163500390614</v>
      </c>
      <c r="BP42" s="204">
        <f t="shared" si="71"/>
        <v>0</v>
      </c>
      <c r="BQ42" s="60">
        <f t="shared" si="72"/>
        <v>0</v>
      </c>
      <c r="BR42" s="205">
        <f t="shared" si="73"/>
        <v>1608156.8479072268</v>
      </c>
      <c r="BS42" s="91">
        <f t="shared" si="74"/>
        <v>0</v>
      </c>
      <c r="BT42" s="91">
        <f t="shared" si="75"/>
        <v>500.2</v>
      </c>
      <c r="BU42" s="97">
        <f t="shared" si="76"/>
        <v>1607656.6479072268</v>
      </c>
      <c r="BV42" s="10"/>
      <c r="BW42" s="116">
        <f>VLOOKUP(A42,'EYSFF Universal Hrs'!$A$159:$W$216,23,0)</f>
        <v>150850.72325658984</v>
      </c>
      <c r="BX42" s="385">
        <f>VLOOKUP(A42,'EYSFF Extended Hrs'!$A$115:$W$172,11,0)</f>
        <v>0</v>
      </c>
      <c r="BY42" s="23"/>
      <c r="BZ42" s="23"/>
      <c r="CA42" s="225">
        <f>VLOOKUP(A42,'Top Up SEN'!A:E,5,0)</f>
        <v>20116</v>
      </c>
      <c r="CB42" s="225">
        <f>VLOOKUP(A42,'2% threshold'!A:H,8,0)</f>
        <v>0</v>
      </c>
      <c r="CC42" s="212"/>
      <c r="CD42" s="433">
        <f>VLOOKUP(A42,'[4]Pupil Premuim'!$B:$G,6,0)</f>
        <v>43560</v>
      </c>
      <c r="CE42" s="433">
        <f>VLOOKUP(A42,'[4]Pupil Premuim'!$K:$P,6,0)</f>
        <v>1500</v>
      </c>
      <c r="CF42" s="433">
        <f>VLOOKUP(A42,'[4]Pupil Premuim'!$T:$Z,7,0)</f>
        <v>2300</v>
      </c>
      <c r="CG42" s="433">
        <f>VLOOKUP(A42,'[4]PE+Sports'!$B$5:$P$54,15,0)</f>
        <v>19500</v>
      </c>
      <c r="CH42" s="433">
        <f>VLOOKUP(A42,'[4]UIFSM'!$B$5:$K$43,10,0)</f>
        <v>63802</v>
      </c>
      <c r="CI42" s="433"/>
      <c r="CJ42" s="433"/>
      <c r="CK42" s="433"/>
    </row>
    <row r="43" spans="1:89" ht="15">
      <c r="A43" s="37">
        <v>3403</v>
      </c>
      <c r="B43" s="10" t="s">
        <v>34</v>
      </c>
      <c r="C43" s="251">
        <v>210</v>
      </c>
      <c r="D43" s="254">
        <v>210</v>
      </c>
      <c r="E43" s="254">
        <v>0</v>
      </c>
      <c r="F43" s="254">
        <v>0</v>
      </c>
      <c r="G43" s="238">
        <v>0</v>
      </c>
      <c r="H43" s="254">
        <v>39.186602870813395</v>
      </c>
      <c r="I43" s="238">
        <v>0</v>
      </c>
      <c r="J43" s="254">
        <v>14.999999999999993</v>
      </c>
      <c r="K43" s="238">
        <v>36.999999999999964</v>
      </c>
      <c r="L43" s="254">
        <v>34.00000000000002</v>
      </c>
      <c r="M43" s="238">
        <v>43.00000000000005</v>
      </c>
      <c r="N43" s="254">
        <v>27.000000000000092</v>
      </c>
      <c r="O43" s="238">
        <v>0</v>
      </c>
      <c r="P43" s="254">
        <v>0</v>
      </c>
      <c r="Q43" s="238">
        <v>0</v>
      </c>
      <c r="R43" s="254">
        <v>0</v>
      </c>
      <c r="S43" s="254">
        <v>0</v>
      </c>
      <c r="T43" s="238">
        <v>0</v>
      </c>
      <c r="U43" s="254">
        <v>0</v>
      </c>
      <c r="V43" s="238">
        <v>47.19101123595495</v>
      </c>
      <c r="W43" s="254">
        <v>0</v>
      </c>
      <c r="X43" s="248">
        <v>46.2196875</v>
      </c>
      <c r="Y43" s="248">
        <v>0</v>
      </c>
      <c r="Z43" s="248">
        <v>0</v>
      </c>
      <c r="AA43" s="241">
        <v>0</v>
      </c>
      <c r="AB43" s="58">
        <f t="shared" si="39"/>
        <v>668117.9391875947</v>
      </c>
      <c r="AC43" s="59">
        <f t="shared" si="40"/>
        <v>0</v>
      </c>
      <c r="AD43" s="59">
        <f t="shared" si="41"/>
        <v>0</v>
      </c>
      <c r="AE43" s="59">
        <f t="shared" si="42"/>
        <v>39101.95980861244</v>
      </c>
      <c r="AF43" s="59">
        <f t="shared" si="43"/>
        <v>0</v>
      </c>
      <c r="AG43" s="59">
        <f t="shared" si="44"/>
        <v>976.4999999999994</v>
      </c>
      <c r="AH43" s="59">
        <f t="shared" si="45"/>
        <v>4817.399999999995</v>
      </c>
      <c r="AI43" s="59">
        <f t="shared" si="46"/>
        <v>6640.200000000004</v>
      </c>
      <c r="AJ43" s="59">
        <f t="shared" si="47"/>
        <v>11197.200000000012</v>
      </c>
      <c r="AK43" s="59">
        <f t="shared" si="48"/>
        <v>8788.500000000031</v>
      </c>
      <c r="AL43" s="59">
        <f t="shared" si="49"/>
        <v>0</v>
      </c>
      <c r="AM43" s="59">
        <f t="shared" si="50"/>
        <v>0</v>
      </c>
      <c r="AN43" s="59">
        <f t="shared" si="51"/>
        <v>0</v>
      </c>
      <c r="AO43" s="59">
        <f t="shared" si="52"/>
        <v>0</v>
      </c>
      <c r="AP43" s="59">
        <f t="shared" si="53"/>
        <v>0</v>
      </c>
      <c r="AQ43" s="59">
        <f t="shared" si="54"/>
        <v>0</v>
      </c>
      <c r="AR43" s="256">
        <f t="shared" si="55"/>
        <v>0</v>
      </c>
      <c r="AS43" s="245">
        <f t="shared" si="56"/>
        <v>34877.93258426959</v>
      </c>
      <c r="AT43" s="254">
        <f t="shared" si="57"/>
        <v>0</v>
      </c>
      <c r="AU43" s="236">
        <f t="shared" si="58"/>
        <v>50841.65625</v>
      </c>
      <c r="AV43" s="59">
        <f t="shared" si="59"/>
        <v>0</v>
      </c>
      <c r="AW43" s="59">
        <f t="shared" si="60"/>
        <v>0</v>
      </c>
      <c r="AX43" s="59">
        <f t="shared" si="61"/>
        <v>0</v>
      </c>
      <c r="AY43" s="256">
        <v>140000</v>
      </c>
      <c r="AZ43" s="258">
        <v>3336</v>
      </c>
      <c r="BA43" s="258">
        <v>101.31</v>
      </c>
      <c r="BB43" s="236"/>
      <c r="BC43" s="59"/>
      <c r="BD43" s="60">
        <v>0</v>
      </c>
      <c r="BE43" s="58">
        <f t="shared" si="62"/>
        <v>668117.9391875947</v>
      </c>
      <c r="BF43" s="59">
        <f t="shared" si="63"/>
        <v>157241.34864288208</v>
      </c>
      <c r="BG43" s="59">
        <f t="shared" si="64"/>
        <v>143437.31</v>
      </c>
      <c r="BH43" s="60">
        <f t="shared" si="65"/>
        <v>50841.65625</v>
      </c>
      <c r="BI43" s="34">
        <f t="shared" si="66"/>
        <v>968796.5978304767</v>
      </c>
      <c r="BJ43" s="59">
        <f t="shared" si="67"/>
        <v>968796.5978304767</v>
      </c>
      <c r="BK43" s="60">
        <f t="shared" si="68"/>
        <v>0</v>
      </c>
      <c r="BL43" s="58">
        <f t="shared" si="69"/>
        <v>825359.2878304766</v>
      </c>
      <c r="BM43" s="59">
        <v>3930.2820850772705</v>
      </c>
      <c r="BN43" s="59">
        <v>3826.474179425837</v>
      </c>
      <c r="BO43" s="33">
        <f t="shared" si="70"/>
        <v>0.027128866100701043</v>
      </c>
      <c r="BP43" s="204">
        <f t="shared" si="71"/>
        <v>0</v>
      </c>
      <c r="BQ43" s="60">
        <f t="shared" si="72"/>
        <v>0</v>
      </c>
      <c r="BR43" s="205">
        <f t="shared" si="73"/>
        <v>968796.5978304767</v>
      </c>
      <c r="BS43" s="91">
        <f t="shared" si="74"/>
        <v>0</v>
      </c>
      <c r="BT43" s="91">
        <f t="shared" si="75"/>
        <v>256.2</v>
      </c>
      <c r="BU43" s="97">
        <f t="shared" si="76"/>
        <v>968540.3978304768</v>
      </c>
      <c r="BV43" s="10"/>
      <c r="BW43" s="116">
        <f>VLOOKUP(A43,'EYSFF Universal Hrs'!$A$159:$W$216,23,0)</f>
        <v>106762.57450313367</v>
      </c>
      <c r="BX43" s="385">
        <f>VLOOKUP(A43,'EYSFF Extended Hrs'!$A$115:$W$172,11,0)</f>
        <v>0</v>
      </c>
      <c r="BY43" s="23"/>
      <c r="BZ43" s="23"/>
      <c r="CA43" s="225">
        <f>VLOOKUP(A43,'Top Up SEN'!A:E,5,0)</f>
        <v>19800</v>
      </c>
      <c r="CB43" s="225">
        <f>VLOOKUP(A43,'2% threshold'!A:H,8,0)</f>
        <v>0</v>
      </c>
      <c r="CC43" s="212"/>
      <c r="CD43" s="433">
        <f>VLOOKUP(A43,'[4]Pupil Premuim'!$B:$G,6,0)</f>
        <v>51480</v>
      </c>
      <c r="CE43" s="433">
        <f>VLOOKUP(A43,'[4]Pupil Premuim'!$K:$P,6,0)</f>
        <v>600</v>
      </c>
      <c r="CF43" s="433">
        <v>0</v>
      </c>
      <c r="CG43" s="433">
        <f>VLOOKUP(A43,'[4]PE+Sports'!$B$5:$P$54,15,0)</f>
        <v>17800</v>
      </c>
      <c r="CH43" s="433">
        <f>VLOOKUP(A43,'[4]UIFSM'!$B$5:$K$43,10,0)</f>
        <v>31901</v>
      </c>
      <c r="CI43" s="433"/>
      <c r="CJ43" s="433"/>
      <c r="CK43" s="433"/>
    </row>
    <row r="44" spans="1:89" ht="15">
      <c r="A44" s="37">
        <v>3404</v>
      </c>
      <c r="B44" s="10" t="s">
        <v>35</v>
      </c>
      <c r="C44" s="251">
        <v>210</v>
      </c>
      <c r="D44" s="254">
        <v>210</v>
      </c>
      <c r="E44" s="254">
        <v>0</v>
      </c>
      <c r="F44" s="254">
        <v>0</v>
      </c>
      <c r="G44" s="238">
        <v>0</v>
      </c>
      <c r="H44" s="254">
        <v>19.811320754716984</v>
      </c>
      <c r="I44" s="238">
        <v>0</v>
      </c>
      <c r="J44" s="254">
        <v>40.99999999999995</v>
      </c>
      <c r="K44" s="238">
        <v>60.00000000000006</v>
      </c>
      <c r="L44" s="254">
        <v>44.0000000000001</v>
      </c>
      <c r="M44" s="238">
        <v>0</v>
      </c>
      <c r="N44" s="254">
        <v>1.9999999999999991</v>
      </c>
      <c r="O44" s="238">
        <v>0</v>
      </c>
      <c r="P44" s="254">
        <v>0</v>
      </c>
      <c r="Q44" s="238">
        <v>0</v>
      </c>
      <c r="R44" s="254">
        <v>0</v>
      </c>
      <c r="S44" s="254">
        <v>0</v>
      </c>
      <c r="T44" s="238">
        <v>0</v>
      </c>
      <c r="U44" s="254">
        <v>0</v>
      </c>
      <c r="V44" s="238">
        <v>52.5</v>
      </c>
      <c r="W44" s="254">
        <v>0</v>
      </c>
      <c r="X44" s="248">
        <v>28.622378114842906</v>
      </c>
      <c r="Y44" s="248">
        <v>0</v>
      </c>
      <c r="Z44" s="248">
        <v>0</v>
      </c>
      <c r="AA44" s="241">
        <v>0</v>
      </c>
      <c r="AB44" s="58">
        <f t="shared" si="39"/>
        <v>668117.9391875947</v>
      </c>
      <c r="AC44" s="59">
        <f t="shared" si="40"/>
        <v>0</v>
      </c>
      <c r="AD44" s="59">
        <f t="shared" si="41"/>
        <v>0</v>
      </c>
      <c r="AE44" s="59">
        <f t="shared" si="42"/>
        <v>19768.528301886796</v>
      </c>
      <c r="AF44" s="59">
        <f t="shared" si="43"/>
        <v>0</v>
      </c>
      <c r="AG44" s="59">
        <f t="shared" si="44"/>
        <v>2669.0999999999967</v>
      </c>
      <c r="AH44" s="59">
        <f t="shared" si="45"/>
        <v>7812.000000000006</v>
      </c>
      <c r="AI44" s="59">
        <f t="shared" si="46"/>
        <v>8593.20000000002</v>
      </c>
      <c r="AJ44" s="59">
        <f t="shared" si="47"/>
        <v>0</v>
      </c>
      <c r="AK44" s="59">
        <f t="shared" si="48"/>
        <v>650.9999999999997</v>
      </c>
      <c r="AL44" s="59">
        <f t="shared" si="49"/>
        <v>0</v>
      </c>
      <c r="AM44" s="59">
        <f t="shared" si="50"/>
        <v>0</v>
      </c>
      <c r="AN44" s="59">
        <f t="shared" si="51"/>
        <v>0</v>
      </c>
      <c r="AO44" s="59">
        <f t="shared" si="52"/>
        <v>0</v>
      </c>
      <c r="AP44" s="59">
        <f t="shared" si="53"/>
        <v>0</v>
      </c>
      <c r="AQ44" s="59">
        <f t="shared" si="54"/>
        <v>0</v>
      </c>
      <c r="AR44" s="256">
        <f t="shared" si="55"/>
        <v>0</v>
      </c>
      <c r="AS44" s="245">
        <f t="shared" si="56"/>
        <v>38801.700000000004</v>
      </c>
      <c r="AT44" s="254">
        <f t="shared" si="57"/>
        <v>0</v>
      </c>
      <c r="AU44" s="236">
        <f t="shared" si="58"/>
        <v>31484.6159263272</v>
      </c>
      <c r="AV44" s="59">
        <f t="shared" si="59"/>
        <v>0</v>
      </c>
      <c r="AW44" s="59">
        <f t="shared" si="60"/>
        <v>0</v>
      </c>
      <c r="AX44" s="59">
        <f t="shared" si="61"/>
        <v>0</v>
      </c>
      <c r="AY44" s="256">
        <v>140000</v>
      </c>
      <c r="AZ44" s="258">
        <v>2520</v>
      </c>
      <c r="BA44" s="258">
        <v>-143.29</v>
      </c>
      <c r="BB44" s="236"/>
      <c r="BC44" s="59"/>
      <c r="BD44" s="60">
        <v>0</v>
      </c>
      <c r="BE44" s="58">
        <f t="shared" si="62"/>
        <v>668117.9391875947</v>
      </c>
      <c r="BF44" s="59">
        <f t="shared" si="63"/>
        <v>109780.14422821402</v>
      </c>
      <c r="BG44" s="59">
        <f t="shared" si="64"/>
        <v>142376.71</v>
      </c>
      <c r="BH44" s="60">
        <f t="shared" si="65"/>
        <v>31484.6159263272</v>
      </c>
      <c r="BI44" s="34">
        <f t="shared" si="66"/>
        <v>920274.7934158087</v>
      </c>
      <c r="BJ44" s="59">
        <f t="shared" si="67"/>
        <v>920274.7934158087</v>
      </c>
      <c r="BK44" s="60">
        <f t="shared" si="68"/>
        <v>0</v>
      </c>
      <c r="BL44" s="58">
        <f t="shared" si="69"/>
        <v>777898.0834158087</v>
      </c>
      <c r="BM44" s="59">
        <v>3704.2765799443273</v>
      </c>
      <c r="BN44" s="59">
        <v>3599.0142242990655</v>
      </c>
      <c r="BO44" s="33">
        <f t="shared" si="70"/>
        <v>0.029247551992035374</v>
      </c>
      <c r="BP44" s="204">
        <f t="shared" si="71"/>
        <v>0</v>
      </c>
      <c r="BQ44" s="60">
        <f t="shared" si="72"/>
        <v>0</v>
      </c>
      <c r="BR44" s="205">
        <f t="shared" si="73"/>
        <v>920274.7934158087</v>
      </c>
      <c r="BS44" s="91">
        <f t="shared" si="74"/>
        <v>0</v>
      </c>
      <c r="BT44" s="91">
        <f t="shared" si="75"/>
        <v>256.2</v>
      </c>
      <c r="BU44" s="97">
        <f t="shared" si="76"/>
        <v>920018.5934158087</v>
      </c>
      <c r="BV44" s="10"/>
      <c r="BW44" s="116">
        <f>VLOOKUP(A44,'EYSFF Universal Hrs'!$A$159:$W$216,23,0)</f>
        <v>99086.91416404906</v>
      </c>
      <c r="BX44" s="385">
        <f>VLOOKUP(A44,'EYSFF Extended Hrs'!$A$115:$W$172,11,0)</f>
        <v>0</v>
      </c>
      <c r="BY44" s="23"/>
      <c r="BZ44" s="23"/>
      <c r="CA44" s="225">
        <f>VLOOKUP(A44,'Top Up SEN'!A:E,5,0)</f>
        <v>45992</v>
      </c>
      <c r="CB44" s="225">
        <f>VLOOKUP(A44,'2% threshold'!A:H,8,0)</f>
        <v>6000</v>
      </c>
      <c r="CC44" s="212"/>
      <c r="CD44" s="433">
        <f>VLOOKUP(A44,'[4]Pupil Premuim'!$B:$G,6,0)</f>
        <v>26400</v>
      </c>
      <c r="CE44" s="433">
        <f>VLOOKUP(A44,'[4]Pupil Premuim'!$K:$P,6,0)</f>
        <v>3000</v>
      </c>
      <c r="CF44" s="433">
        <f>VLOOKUP(A44,'[4]Pupil Premuim'!$T:$Z,7,0)</f>
        <v>4600</v>
      </c>
      <c r="CG44" s="433">
        <f>VLOOKUP(A44,'[4]PE+Sports'!$B$5:$P$54,15,0)</f>
        <v>17800</v>
      </c>
      <c r="CH44" s="433">
        <f>VLOOKUP(A44,'[4]UIFSM'!$B$5:$K$43,10,0)</f>
        <v>35834</v>
      </c>
      <c r="CI44" s="433"/>
      <c r="CJ44" s="433"/>
      <c r="CK44" s="433"/>
    </row>
    <row r="45" spans="1:89" ht="15">
      <c r="A45" s="37">
        <v>3405</v>
      </c>
      <c r="B45" s="10" t="s">
        <v>36</v>
      </c>
      <c r="C45" s="251">
        <v>620</v>
      </c>
      <c r="D45" s="254">
        <v>620</v>
      </c>
      <c r="E45" s="254">
        <v>0</v>
      </c>
      <c r="F45" s="254">
        <v>0</v>
      </c>
      <c r="G45" s="238">
        <v>0</v>
      </c>
      <c r="H45" s="254">
        <v>44.78330658105939</v>
      </c>
      <c r="I45" s="238">
        <v>0</v>
      </c>
      <c r="J45" s="254">
        <v>54.00000000000001</v>
      </c>
      <c r="K45" s="238">
        <v>34.99999999999999</v>
      </c>
      <c r="L45" s="254">
        <v>4.000000000000002</v>
      </c>
      <c r="M45" s="238">
        <v>0.9999999999999991</v>
      </c>
      <c r="N45" s="254">
        <v>1.9999999999999982</v>
      </c>
      <c r="O45" s="238">
        <v>0</v>
      </c>
      <c r="P45" s="254">
        <v>0</v>
      </c>
      <c r="Q45" s="238">
        <v>0</v>
      </c>
      <c r="R45" s="254">
        <v>0</v>
      </c>
      <c r="S45" s="254">
        <v>0</v>
      </c>
      <c r="T45" s="238">
        <v>0</v>
      </c>
      <c r="U45" s="254">
        <v>0</v>
      </c>
      <c r="V45" s="238">
        <v>62.234848484848555</v>
      </c>
      <c r="W45" s="254">
        <v>0</v>
      </c>
      <c r="X45" s="248">
        <v>89.23038920359747</v>
      </c>
      <c r="Y45" s="248">
        <v>0</v>
      </c>
      <c r="Z45" s="248">
        <v>0</v>
      </c>
      <c r="AA45" s="241">
        <v>0</v>
      </c>
      <c r="AB45" s="58">
        <f t="shared" si="39"/>
        <v>1972538.67760147</v>
      </c>
      <c r="AC45" s="59">
        <f t="shared" si="40"/>
        <v>0</v>
      </c>
      <c r="AD45" s="59">
        <f t="shared" si="41"/>
        <v>0</v>
      </c>
      <c r="AE45" s="59">
        <f t="shared" si="42"/>
        <v>44686.57463884431</v>
      </c>
      <c r="AF45" s="59">
        <f t="shared" si="43"/>
        <v>0</v>
      </c>
      <c r="AG45" s="59">
        <f t="shared" si="44"/>
        <v>3515.4</v>
      </c>
      <c r="AH45" s="59">
        <f t="shared" si="45"/>
        <v>4556.999999999999</v>
      </c>
      <c r="AI45" s="59">
        <f t="shared" si="46"/>
        <v>781.2000000000004</v>
      </c>
      <c r="AJ45" s="59">
        <f t="shared" si="47"/>
        <v>260.39999999999975</v>
      </c>
      <c r="AK45" s="59">
        <f t="shared" si="48"/>
        <v>650.9999999999994</v>
      </c>
      <c r="AL45" s="59">
        <f t="shared" si="49"/>
        <v>0</v>
      </c>
      <c r="AM45" s="59">
        <f t="shared" si="50"/>
        <v>0</v>
      </c>
      <c r="AN45" s="59">
        <f t="shared" si="51"/>
        <v>0</v>
      </c>
      <c r="AO45" s="59">
        <f t="shared" si="52"/>
        <v>0</v>
      </c>
      <c r="AP45" s="59">
        <f t="shared" si="53"/>
        <v>0</v>
      </c>
      <c r="AQ45" s="59">
        <f t="shared" si="54"/>
        <v>0</v>
      </c>
      <c r="AR45" s="256">
        <f t="shared" si="55"/>
        <v>0</v>
      </c>
      <c r="AS45" s="245">
        <f t="shared" si="56"/>
        <v>45996.53181818187</v>
      </c>
      <c r="AT45" s="254">
        <f t="shared" si="57"/>
        <v>0</v>
      </c>
      <c r="AU45" s="236">
        <f t="shared" si="58"/>
        <v>98153.42812395722</v>
      </c>
      <c r="AV45" s="59">
        <f t="shared" si="59"/>
        <v>0</v>
      </c>
      <c r="AW45" s="59">
        <f t="shared" si="60"/>
        <v>0</v>
      </c>
      <c r="AX45" s="59">
        <f t="shared" si="61"/>
        <v>0</v>
      </c>
      <c r="AY45" s="256">
        <v>140000</v>
      </c>
      <c r="AZ45" s="258">
        <v>20200</v>
      </c>
      <c r="BA45" s="258">
        <v>-114.37</v>
      </c>
      <c r="BB45" s="236"/>
      <c r="BC45" s="59"/>
      <c r="BD45" s="60">
        <v>0</v>
      </c>
      <c r="BE45" s="58">
        <f t="shared" si="62"/>
        <v>1972538.67760147</v>
      </c>
      <c r="BF45" s="59">
        <f t="shared" si="63"/>
        <v>198601.5345809834</v>
      </c>
      <c r="BG45" s="59">
        <f t="shared" si="64"/>
        <v>160085.63</v>
      </c>
      <c r="BH45" s="60">
        <f t="shared" si="65"/>
        <v>98153.42812395722</v>
      </c>
      <c r="BI45" s="34">
        <f t="shared" si="66"/>
        <v>2331225.8421824533</v>
      </c>
      <c r="BJ45" s="59">
        <f t="shared" si="67"/>
        <v>2331225.8421824533</v>
      </c>
      <c r="BK45" s="60">
        <f t="shared" si="68"/>
        <v>0</v>
      </c>
      <c r="BL45" s="58">
        <f t="shared" si="69"/>
        <v>2171140.2121824534</v>
      </c>
      <c r="BM45" s="59">
        <v>3501.8390482321824</v>
      </c>
      <c r="BN45" s="59">
        <v>3408.151758038585</v>
      </c>
      <c r="BO45" s="33">
        <f t="shared" si="70"/>
        <v>0.02748917796064202</v>
      </c>
      <c r="BP45" s="204">
        <f t="shared" si="71"/>
        <v>0</v>
      </c>
      <c r="BQ45" s="60">
        <f t="shared" si="72"/>
        <v>0</v>
      </c>
      <c r="BR45" s="205">
        <f t="shared" si="73"/>
        <v>2331225.8421824533</v>
      </c>
      <c r="BS45" s="91">
        <f t="shared" si="74"/>
        <v>0</v>
      </c>
      <c r="BT45" s="91">
        <f t="shared" si="75"/>
        <v>756.4</v>
      </c>
      <c r="BU45" s="97">
        <f t="shared" si="76"/>
        <v>2330469.4421824533</v>
      </c>
      <c r="BV45" s="10"/>
      <c r="BW45" s="116">
        <f>VLOOKUP(A45,'EYSFF Universal Hrs'!$A$159:$W$216,23,0)</f>
        <v>170110.19834474244</v>
      </c>
      <c r="BX45" s="385">
        <f>VLOOKUP(A45,'EYSFF Extended Hrs'!$A$115:$W$172,11,0)</f>
        <v>0</v>
      </c>
      <c r="BY45" s="23"/>
      <c r="BZ45" s="23"/>
      <c r="CA45" s="225">
        <f>VLOOKUP(A45,'Top Up SEN'!A:E,5,0)</f>
        <v>44409</v>
      </c>
      <c r="CB45" s="225">
        <f>VLOOKUP(A45,'2% threshold'!A:H,8,0)</f>
        <v>0</v>
      </c>
      <c r="CC45" s="212"/>
      <c r="CD45" s="433">
        <f>VLOOKUP(A45,'[4]Pupil Premuim'!$B:$G,6,0)</f>
        <v>56760</v>
      </c>
      <c r="CE45" s="433">
        <f>VLOOKUP(A45,'[4]Pupil Premuim'!$K:$P,6,0)</f>
        <v>0</v>
      </c>
      <c r="CF45" s="433">
        <f>VLOOKUP(A45,'[4]Pupil Premuim'!$T:$Z,7,0)</f>
        <v>18400</v>
      </c>
      <c r="CG45" s="433">
        <f>VLOOKUP(A45,'[4]PE+Sports'!$B$5:$P$54,15,0)</f>
        <v>21300</v>
      </c>
      <c r="CH45" s="433">
        <f>VLOOKUP(A45,'[4]UIFSM'!$B$5:$K$43,10,0)</f>
        <v>90459</v>
      </c>
      <c r="CI45" s="433"/>
      <c r="CJ45" s="433"/>
      <c r="CK45" s="433"/>
    </row>
    <row r="46" spans="1:89" ht="15">
      <c r="A46" s="37">
        <v>5200</v>
      </c>
      <c r="B46" s="10" t="s">
        <v>37</v>
      </c>
      <c r="C46" s="251">
        <v>268</v>
      </c>
      <c r="D46" s="254">
        <v>268</v>
      </c>
      <c r="E46" s="254">
        <v>0</v>
      </c>
      <c r="F46" s="254">
        <v>0</v>
      </c>
      <c r="G46" s="238">
        <v>0</v>
      </c>
      <c r="H46" s="254">
        <v>30.77037037037037</v>
      </c>
      <c r="I46" s="238">
        <v>0</v>
      </c>
      <c r="J46" s="254">
        <v>81.99999999999991</v>
      </c>
      <c r="K46" s="238">
        <v>4.000000000000011</v>
      </c>
      <c r="L46" s="254">
        <v>4.999999999999988</v>
      </c>
      <c r="M46" s="238">
        <v>0</v>
      </c>
      <c r="N46" s="254">
        <v>0</v>
      </c>
      <c r="O46" s="238">
        <v>0</v>
      </c>
      <c r="P46" s="254">
        <v>0</v>
      </c>
      <c r="Q46" s="238">
        <v>0</v>
      </c>
      <c r="R46" s="254">
        <v>0</v>
      </c>
      <c r="S46" s="254">
        <v>0</v>
      </c>
      <c r="T46" s="238">
        <v>0</v>
      </c>
      <c r="U46" s="254">
        <v>0</v>
      </c>
      <c r="V46" s="238">
        <v>152.0674157303372</v>
      </c>
      <c r="W46" s="254">
        <v>0</v>
      </c>
      <c r="X46" s="248">
        <v>42.48622272727272</v>
      </c>
      <c r="Y46" s="248">
        <v>0</v>
      </c>
      <c r="Z46" s="248">
        <v>0</v>
      </c>
      <c r="AA46" s="241">
        <v>0</v>
      </c>
      <c r="AB46" s="58">
        <f t="shared" si="39"/>
        <v>852645.7509632161</v>
      </c>
      <c r="AC46" s="59">
        <f t="shared" si="40"/>
        <v>0</v>
      </c>
      <c r="AD46" s="59">
        <f t="shared" si="41"/>
        <v>0</v>
      </c>
      <c r="AE46" s="59">
        <f t="shared" si="42"/>
        <v>30703.90637037037</v>
      </c>
      <c r="AF46" s="59">
        <f t="shared" si="43"/>
        <v>0</v>
      </c>
      <c r="AG46" s="59">
        <f t="shared" si="44"/>
        <v>5338.199999999994</v>
      </c>
      <c r="AH46" s="59">
        <f t="shared" si="45"/>
        <v>520.8000000000013</v>
      </c>
      <c r="AI46" s="59">
        <f t="shared" si="46"/>
        <v>976.4999999999976</v>
      </c>
      <c r="AJ46" s="59">
        <f t="shared" si="47"/>
        <v>0</v>
      </c>
      <c r="AK46" s="59">
        <f t="shared" si="48"/>
        <v>0</v>
      </c>
      <c r="AL46" s="59">
        <f t="shared" si="49"/>
        <v>0</v>
      </c>
      <c r="AM46" s="59">
        <f t="shared" si="50"/>
        <v>0</v>
      </c>
      <c r="AN46" s="59">
        <f t="shared" si="51"/>
        <v>0</v>
      </c>
      <c r="AO46" s="59">
        <f t="shared" si="52"/>
        <v>0</v>
      </c>
      <c r="AP46" s="59">
        <f t="shared" si="53"/>
        <v>0</v>
      </c>
      <c r="AQ46" s="59">
        <f t="shared" si="54"/>
        <v>0</v>
      </c>
      <c r="AR46" s="256">
        <f t="shared" si="55"/>
        <v>0</v>
      </c>
      <c r="AS46" s="245">
        <f t="shared" si="56"/>
        <v>112389.98561797761</v>
      </c>
      <c r="AT46" s="254">
        <f t="shared" si="57"/>
        <v>0</v>
      </c>
      <c r="AU46" s="236">
        <f t="shared" si="58"/>
        <v>46734.84499999999</v>
      </c>
      <c r="AV46" s="59">
        <f t="shared" si="59"/>
        <v>0</v>
      </c>
      <c r="AW46" s="59">
        <f t="shared" si="60"/>
        <v>0</v>
      </c>
      <c r="AX46" s="59">
        <f t="shared" si="61"/>
        <v>0</v>
      </c>
      <c r="AY46" s="256">
        <v>140000</v>
      </c>
      <c r="AZ46" s="258">
        <v>5550</v>
      </c>
      <c r="BA46" s="258">
        <v>-409.5</v>
      </c>
      <c r="BB46" s="236"/>
      <c r="BC46" s="59"/>
      <c r="BD46" s="60">
        <v>0</v>
      </c>
      <c r="BE46" s="58">
        <f t="shared" si="62"/>
        <v>852645.7509632161</v>
      </c>
      <c r="BF46" s="59">
        <f t="shared" si="63"/>
        <v>196664.23698834796</v>
      </c>
      <c r="BG46" s="59">
        <f t="shared" si="64"/>
        <v>145140.5</v>
      </c>
      <c r="BH46" s="60">
        <f t="shared" si="65"/>
        <v>46734.84499999999</v>
      </c>
      <c r="BI46" s="34">
        <f t="shared" si="66"/>
        <v>1194450.4879515641</v>
      </c>
      <c r="BJ46" s="59">
        <f t="shared" si="67"/>
        <v>1194450.4879515641</v>
      </c>
      <c r="BK46" s="60">
        <f t="shared" si="68"/>
        <v>0</v>
      </c>
      <c r="BL46" s="58">
        <f t="shared" si="69"/>
        <v>1049309.9879515641</v>
      </c>
      <c r="BM46" s="59">
        <v>3915.335775938672</v>
      </c>
      <c r="BN46" s="59">
        <v>3765.6406181481484</v>
      </c>
      <c r="BO46" s="33">
        <f t="shared" si="70"/>
        <v>0.03975290607103667</v>
      </c>
      <c r="BP46" s="204">
        <f t="shared" si="71"/>
        <v>0</v>
      </c>
      <c r="BQ46" s="60">
        <f t="shared" si="72"/>
        <v>0</v>
      </c>
      <c r="BR46" s="205">
        <f t="shared" si="73"/>
        <v>1194450.4879515641</v>
      </c>
      <c r="BS46" s="91">
        <f t="shared" si="74"/>
        <v>0</v>
      </c>
      <c r="BT46" s="91">
        <f t="shared" si="75"/>
        <v>326.96</v>
      </c>
      <c r="BU46" s="97">
        <f t="shared" si="76"/>
        <v>1194123.5279515642</v>
      </c>
      <c r="BV46" s="10"/>
      <c r="BW46" s="116">
        <f>VLOOKUP(A46,'EYSFF Universal Hrs'!$A$159:$W$216,23,0)</f>
        <v>239656.9947098963</v>
      </c>
      <c r="BX46" s="385">
        <f>VLOOKUP(A46,'EYSFF Extended Hrs'!$A$115:$W$172,11,0)</f>
        <v>97271.16416041236</v>
      </c>
      <c r="BY46" s="23"/>
      <c r="BZ46" s="23"/>
      <c r="CA46" s="225">
        <f>VLOOKUP(A46,'Top Up SEN'!A:E,5,0)</f>
        <v>75596</v>
      </c>
      <c r="CB46" s="225">
        <f>VLOOKUP(A46,'2% threshold'!A:H,8,0)</f>
        <v>12000</v>
      </c>
      <c r="CC46" s="212"/>
      <c r="CD46" s="433">
        <f>VLOOKUP(A46,'[4]Pupil Premuim'!$B:$G,6,0)</f>
        <v>39600</v>
      </c>
      <c r="CE46" s="433">
        <v>0</v>
      </c>
      <c r="CF46" s="433">
        <f>VLOOKUP(A46,'[4]Pupil Premuim'!$T:$Z,7,0)</f>
        <v>4600</v>
      </c>
      <c r="CG46" s="433">
        <f>VLOOKUP(A46,'[4]PE+Sports'!$B$5:$P$54,15,0)</f>
        <v>17780</v>
      </c>
      <c r="CH46" s="433">
        <f>VLOOKUP(A46,'[4]UIFSM'!$B$5:$K$43,10,0)</f>
        <v>99199</v>
      </c>
      <c r="CI46" s="433"/>
      <c r="CJ46" s="433"/>
      <c r="CK46" s="433"/>
    </row>
    <row r="47" spans="1:89" ht="15">
      <c r="A47" s="37">
        <v>5201</v>
      </c>
      <c r="B47" s="10" t="s">
        <v>38</v>
      </c>
      <c r="C47" s="251">
        <v>357</v>
      </c>
      <c r="D47" s="254">
        <v>357</v>
      </c>
      <c r="E47" s="254">
        <v>0</v>
      </c>
      <c r="F47" s="254">
        <v>0</v>
      </c>
      <c r="G47" s="238">
        <v>0</v>
      </c>
      <c r="H47" s="254">
        <v>64.36056338028169</v>
      </c>
      <c r="I47" s="238">
        <v>0</v>
      </c>
      <c r="J47" s="254">
        <v>103.99999999999991</v>
      </c>
      <c r="K47" s="238">
        <v>12.000000000000014</v>
      </c>
      <c r="L47" s="254">
        <v>7</v>
      </c>
      <c r="M47" s="238">
        <v>0.9999999999999993</v>
      </c>
      <c r="N47" s="254">
        <v>0</v>
      </c>
      <c r="O47" s="238">
        <v>0</v>
      </c>
      <c r="P47" s="254">
        <v>0</v>
      </c>
      <c r="Q47" s="238">
        <v>0</v>
      </c>
      <c r="R47" s="254">
        <v>0</v>
      </c>
      <c r="S47" s="254">
        <v>0</v>
      </c>
      <c r="T47" s="238">
        <v>0</v>
      </c>
      <c r="U47" s="254">
        <v>0</v>
      </c>
      <c r="V47" s="238">
        <v>47.999999999999986</v>
      </c>
      <c r="W47" s="254">
        <v>0</v>
      </c>
      <c r="X47" s="248">
        <v>56.20288681318681</v>
      </c>
      <c r="Y47" s="248">
        <v>0</v>
      </c>
      <c r="Z47" s="248">
        <v>0</v>
      </c>
      <c r="AA47" s="241">
        <v>0</v>
      </c>
      <c r="AB47" s="58">
        <f t="shared" si="39"/>
        <v>1135800.496618911</v>
      </c>
      <c r="AC47" s="59">
        <f t="shared" si="40"/>
        <v>0</v>
      </c>
      <c r="AD47" s="59">
        <f t="shared" si="41"/>
        <v>0</v>
      </c>
      <c r="AE47" s="59">
        <f t="shared" si="42"/>
        <v>64221.54456338028</v>
      </c>
      <c r="AF47" s="59">
        <f t="shared" si="43"/>
        <v>0</v>
      </c>
      <c r="AG47" s="59">
        <f t="shared" si="44"/>
        <v>6770.399999999994</v>
      </c>
      <c r="AH47" s="59">
        <f t="shared" si="45"/>
        <v>1562.4000000000017</v>
      </c>
      <c r="AI47" s="59">
        <f t="shared" si="46"/>
        <v>1367.1000000000001</v>
      </c>
      <c r="AJ47" s="59">
        <f t="shared" si="47"/>
        <v>260.3999999999998</v>
      </c>
      <c r="AK47" s="59">
        <f t="shared" si="48"/>
        <v>0</v>
      </c>
      <c r="AL47" s="59">
        <f t="shared" si="49"/>
        <v>0</v>
      </c>
      <c r="AM47" s="59">
        <f t="shared" si="50"/>
        <v>0</v>
      </c>
      <c r="AN47" s="59">
        <f t="shared" si="51"/>
        <v>0</v>
      </c>
      <c r="AO47" s="59">
        <f t="shared" si="52"/>
        <v>0</v>
      </c>
      <c r="AP47" s="59">
        <f t="shared" si="53"/>
        <v>0</v>
      </c>
      <c r="AQ47" s="59">
        <f t="shared" si="54"/>
        <v>0</v>
      </c>
      <c r="AR47" s="256">
        <f t="shared" si="55"/>
        <v>0</v>
      </c>
      <c r="AS47" s="245">
        <f t="shared" si="56"/>
        <v>35475.83999999999</v>
      </c>
      <c r="AT47" s="254">
        <f t="shared" si="57"/>
        <v>0</v>
      </c>
      <c r="AU47" s="236">
        <f t="shared" si="58"/>
        <v>61823.175494505485</v>
      </c>
      <c r="AV47" s="59">
        <f t="shared" si="59"/>
        <v>0</v>
      </c>
      <c r="AW47" s="59">
        <f t="shared" si="60"/>
        <v>0</v>
      </c>
      <c r="AX47" s="59">
        <f t="shared" si="61"/>
        <v>0</v>
      </c>
      <c r="AY47" s="256">
        <v>140000</v>
      </c>
      <c r="AZ47" s="258">
        <v>5550</v>
      </c>
      <c r="BA47" s="258">
        <v>-409.5</v>
      </c>
      <c r="BB47" s="236"/>
      <c r="BC47" s="59"/>
      <c r="BD47" s="60">
        <v>0</v>
      </c>
      <c r="BE47" s="58">
        <f t="shared" si="62"/>
        <v>1135800.496618911</v>
      </c>
      <c r="BF47" s="59">
        <f t="shared" si="63"/>
        <v>171480.86005788576</v>
      </c>
      <c r="BG47" s="59">
        <f t="shared" si="64"/>
        <v>145140.5</v>
      </c>
      <c r="BH47" s="60">
        <f t="shared" si="65"/>
        <v>61823.175494505485</v>
      </c>
      <c r="BI47" s="34">
        <f t="shared" si="66"/>
        <v>1452421.8566767967</v>
      </c>
      <c r="BJ47" s="59">
        <f t="shared" si="67"/>
        <v>1452421.8566767967</v>
      </c>
      <c r="BK47" s="60">
        <f t="shared" si="68"/>
        <v>0</v>
      </c>
      <c r="BL47" s="58">
        <f t="shared" si="69"/>
        <v>1307281.3566767967</v>
      </c>
      <c r="BM47" s="59">
        <v>3661.8525378873856</v>
      </c>
      <c r="BN47" s="59">
        <v>3549.003994972067</v>
      </c>
      <c r="BO47" s="33">
        <f t="shared" si="70"/>
        <v>0.03179724313502965</v>
      </c>
      <c r="BP47" s="204">
        <f t="shared" si="71"/>
        <v>0</v>
      </c>
      <c r="BQ47" s="60">
        <f t="shared" si="72"/>
        <v>0</v>
      </c>
      <c r="BR47" s="205">
        <f t="shared" si="73"/>
        <v>1452421.8566767967</v>
      </c>
      <c r="BS47" s="91">
        <f t="shared" si="74"/>
        <v>0</v>
      </c>
      <c r="BT47" s="91">
        <f t="shared" si="75"/>
        <v>435.53999999999996</v>
      </c>
      <c r="BU47" s="97">
        <f t="shared" si="76"/>
        <v>1451986.3166767966</v>
      </c>
      <c r="BV47" s="10"/>
      <c r="BW47" s="116"/>
      <c r="BX47" s="385"/>
      <c r="BY47" s="23"/>
      <c r="BZ47" s="23"/>
      <c r="CA47" s="225">
        <f>VLOOKUP(A47,'Top Up SEN'!A:E,5,0)</f>
        <v>64150</v>
      </c>
      <c r="CB47" s="225">
        <f>VLOOKUP(A47,'2% threshold'!A:H,8,0)</f>
        <v>6000</v>
      </c>
      <c r="CC47" s="212"/>
      <c r="CD47" s="433">
        <f>VLOOKUP(A47,'[4]Pupil Premuim'!$B:$G,6,0)</f>
        <v>83160</v>
      </c>
      <c r="CE47" s="433">
        <f>VLOOKUP(A47,'[4]Pupil Premuim'!$K:$P,6,0)</f>
        <v>0</v>
      </c>
      <c r="CF47" s="433">
        <v>0</v>
      </c>
      <c r="CG47" s="433">
        <f>VLOOKUP(A47,'[4]PE+Sports'!$B$5:$P$54,15,0)</f>
        <v>19570</v>
      </c>
      <c r="CH47" s="433"/>
      <c r="CI47" s="433"/>
      <c r="CJ47" s="433"/>
      <c r="CK47" s="433"/>
    </row>
    <row r="48" spans="1:89" ht="15">
      <c r="A48" s="37">
        <v>5202</v>
      </c>
      <c r="B48" s="10" t="s">
        <v>39</v>
      </c>
      <c r="C48" s="251">
        <v>392</v>
      </c>
      <c r="D48" s="254">
        <v>392</v>
      </c>
      <c r="E48" s="254">
        <v>0</v>
      </c>
      <c r="F48" s="254">
        <v>0</v>
      </c>
      <c r="G48" s="238">
        <v>0</v>
      </c>
      <c r="H48" s="254">
        <v>152.71464019851118</v>
      </c>
      <c r="I48" s="238">
        <v>0</v>
      </c>
      <c r="J48" s="254">
        <v>138.00000000000014</v>
      </c>
      <c r="K48" s="238">
        <v>80.9999999999998</v>
      </c>
      <c r="L48" s="254">
        <v>56.00000000000005</v>
      </c>
      <c r="M48" s="238">
        <v>15.000000000000009</v>
      </c>
      <c r="N48" s="254">
        <v>3.0000000000000018</v>
      </c>
      <c r="O48" s="238">
        <v>0</v>
      </c>
      <c r="P48" s="254">
        <v>0</v>
      </c>
      <c r="Q48" s="238">
        <v>0</v>
      </c>
      <c r="R48" s="254">
        <v>0</v>
      </c>
      <c r="S48" s="254">
        <v>0</v>
      </c>
      <c r="T48" s="238">
        <v>0</v>
      </c>
      <c r="U48" s="254">
        <v>0</v>
      </c>
      <c r="V48" s="238">
        <v>108.27621483375967</v>
      </c>
      <c r="W48" s="254">
        <v>0</v>
      </c>
      <c r="X48" s="248">
        <v>95.15823397075366</v>
      </c>
      <c r="Y48" s="248">
        <v>0</v>
      </c>
      <c r="Z48" s="248">
        <v>0</v>
      </c>
      <c r="AA48" s="241">
        <v>0</v>
      </c>
      <c r="AB48" s="58">
        <f t="shared" si="39"/>
        <v>1247153.48648351</v>
      </c>
      <c r="AC48" s="59">
        <f t="shared" si="40"/>
        <v>0</v>
      </c>
      <c r="AD48" s="59">
        <f t="shared" si="41"/>
        <v>0</v>
      </c>
      <c r="AE48" s="59">
        <f t="shared" si="42"/>
        <v>152384.7765756824</v>
      </c>
      <c r="AF48" s="59">
        <f t="shared" si="43"/>
        <v>0</v>
      </c>
      <c r="AG48" s="59">
        <f t="shared" si="44"/>
        <v>8983.800000000008</v>
      </c>
      <c r="AH48" s="59">
        <f t="shared" si="45"/>
        <v>10546.199999999973</v>
      </c>
      <c r="AI48" s="59">
        <f t="shared" si="46"/>
        <v>10936.80000000001</v>
      </c>
      <c r="AJ48" s="59">
        <f t="shared" si="47"/>
        <v>3906.000000000002</v>
      </c>
      <c r="AK48" s="59">
        <f t="shared" si="48"/>
        <v>976.5000000000006</v>
      </c>
      <c r="AL48" s="59">
        <f t="shared" si="49"/>
        <v>0</v>
      </c>
      <c r="AM48" s="59">
        <f t="shared" si="50"/>
        <v>0</v>
      </c>
      <c r="AN48" s="59">
        <f t="shared" si="51"/>
        <v>0</v>
      </c>
      <c r="AO48" s="59">
        <f t="shared" si="52"/>
        <v>0</v>
      </c>
      <c r="AP48" s="59">
        <f t="shared" si="53"/>
        <v>0</v>
      </c>
      <c r="AQ48" s="59">
        <f t="shared" si="54"/>
        <v>0</v>
      </c>
      <c r="AR48" s="256">
        <f t="shared" si="55"/>
        <v>0</v>
      </c>
      <c r="AS48" s="245">
        <f t="shared" si="56"/>
        <v>80024.7848593351</v>
      </c>
      <c r="AT48" s="254">
        <f t="shared" si="57"/>
        <v>0</v>
      </c>
      <c r="AU48" s="236">
        <f t="shared" si="58"/>
        <v>104674.05736782902</v>
      </c>
      <c r="AV48" s="59">
        <f t="shared" si="59"/>
        <v>0</v>
      </c>
      <c r="AW48" s="59">
        <f t="shared" si="60"/>
        <v>0</v>
      </c>
      <c r="AX48" s="59">
        <f t="shared" si="61"/>
        <v>0</v>
      </c>
      <c r="AY48" s="256">
        <v>140000</v>
      </c>
      <c r="AZ48" s="258">
        <v>7750</v>
      </c>
      <c r="BA48" s="258">
        <v>-4700.69</v>
      </c>
      <c r="BB48" s="236"/>
      <c r="BC48" s="59"/>
      <c r="BD48" s="60">
        <v>0</v>
      </c>
      <c r="BE48" s="58">
        <f t="shared" si="62"/>
        <v>1247153.48648351</v>
      </c>
      <c r="BF48" s="59">
        <f t="shared" si="63"/>
        <v>372432.9188028465</v>
      </c>
      <c r="BG48" s="59">
        <f t="shared" si="64"/>
        <v>143049.31</v>
      </c>
      <c r="BH48" s="60">
        <f t="shared" si="65"/>
        <v>104674.05736782902</v>
      </c>
      <c r="BI48" s="34">
        <f t="shared" si="66"/>
        <v>1762635.7152863564</v>
      </c>
      <c r="BJ48" s="59">
        <f t="shared" si="67"/>
        <v>1762635.7152863564</v>
      </c>
      <c r="BK48" s="60">
        <f t="shared" si="68"/>
        <v>0</v>
      </c>
      <c r="BL48" s="58">
        <f t="shared" si="69"/>
        <v>1619586.4052863563</v>
      </c>
      <c r="BM48" s="59">
        <v>4131.597941530884</v>
      </c>
      <c r="BN48" s="59">
        <v>4042.443996059113</v>
      </c>
      <c r="BO48" s="33">
        <f t="shared" si="70"/>
        <v>0.02205446644621051</v>
      </c>
      <c r="BP48" s="204">
        <f t="shared" si="71"/>
        <v>0</v>
      </c>
      <c r="BQ48" s="60">
        <f t="shared" si="72"/>
        <v>0</v>
      </c>
      <c r="BR48" s="205">
        <f t="shared" si="73"/>
        <v>1762635.7152863564</v>
      </c>
      <c r="BS48" s="91">
        <f t="shared" si="74"/>
        <v>0</v>
      </c>
      <c r="BT48" s="91">
        <f t="shared" si="75"/>
        <v>478.24</v>
      </c>
      <c r="BU48" s="97">
        <f t="shared" si="76"/>
        <v>1762157.4752863564</v>
      </c>
      <c r="BV48" s="10"/>
      <c r="BW48" s="116"/>
      <c r="BX48" s="385"/>
      <c r="BY48" s="23"/>
      <c r="BZ48" s="23"/>
      <c r="CA48" s="225">
        <f>VLOOKUP(A48,'Top Up SEN'!A:E,5,0)</f>
        <v>32959</v>
      </c>
      <c r="CB48" s="225">
        <f>VLOOKUP(A48,'2% threshold'!A:H,8,0)</f>
        <v>0</v>
      </c>
      <c r="CC48" s="212"/>
      <c r="CD48" s="433">
        <f>VLOOKUP(A48,'[4]Pupil Premuim'!$B:$G,6,0)</f>
        <v>205920</v>
      </c>
      <c r="CE48" s="433">
        <v>0</v>
      </c>
      <c r="CF48" s="433">
        <f>VLOOKUP(A48,'[4]Pupil Premuim'!$T:$Z,7,0)</f>
        <v>2300</v>
      </c>
      <c r="CG48" s="433">
        <f>VLOOKUP(A48,'[4]PE+Sports'!$B$5:$P$54,15,0)</f>
        <v>19920</v>
      </c>
      <c r="CH48" s="433"/>
      <c r="CI48" s="433"/>
      <c r="CJ48" s="433"/>
      <c r="CK48" s="433"/>
    </row>
    <row r="49" spans="1:89" ht="15">
      <c r="A49" s="37">
        <v>5203</v>
      </c>
      <c r="B49" s="115" t="s">
        <v>133</v>
      </c>
      <c r="C49" s="251">
        <v>321</v>
      </c>
      <c r="D49" s="254">
        <v>321</v>
      </c>
      <c r="E49" s="254">
        <v>0</v>
      </c>
      <c r="F49" s="254">
        <v>0</v>
      </c>
      <c r="G49" s="238">
        <v>0</v>
      </c>
      <c r="H49" s="254">
        <v>70.21875</v>
      </c>
      <c r="I49" s="238">
        <v>0</v>
      </c>
      <c r="J49" s="254">
        <v>93.99999999999997</v>
      </c>
      <c r="K49" s="238">
        <v>76.00000000000003</v>
      </c>
      <c r="L49" s="254">
        <v>40.9999999999999</v>
      </c>
      <c r="M49" s="238">
        <v>12.999999999999986</v>
      </c>
      <c r="N49" s="254">
        <v>2.9999999999999987</v>
      </c>
      <c r="O49" s="238">
        <v>0</v>
      </c>
      <c r="P49" s="254">
        <v>0</v>
      </c>
      <c r="Q49" s="238">
        <v>0</v>
      </c>
      <c r="R49" s="254">
        <v>0</v>
      </c>
      <c r="S49" s="254">
        <v>0</v>
      </c>
      <c r="T49" s="238">
        <v>0</v>
      </c>
      <c r="U49" s="254">
        <v>0</v>
      </c>
      <c r="V49" s="238">
        <v>256.5196506550218</v>
      </c>
      <c r="W49" s="254">
        <v>0</v>
      </c>
      <c r="X49" s="248">
        <v>48.94179999999996</v>
      </c>
      <c r="Y49" s="248">
        <v>0</v>
      </c>
      <c r="Z49" s="248">
        <v>0</v>
      </c>
      <c r="AA49" s="241">
        <v>0</v>
      </c>
      <c r="AB49" s="58">
        <f t="shared" si="39"/>
        <v>1021265.9927581804</v>
      </c>
      <c r="AC49" s="59">
        <f t="shared" si="40"/>
        <v>0</v>
      </c>
      <c r="AD49" s="59">
        <f t="shared" si="41"/>
        <v>0</v>
      </c>
      <c r="AE49" s="59">
        <f t="shared" si="42"/>
        <v>70067.0775</v>
      </c>
      <c r="AF49" s="59">
        <f t="shared" si="43"/>
        <v>0</v>
      </c>
      <c r="AG49" s="59">
        <f t="shared" si="44"/>
        <v>6119.399999999998</v>
      </c>
      <c r="AH49" s="59">
        <f t="shared" si="45"/>
        <v>9895.200000000003</v>
      </c>
      <c r="AI49" s="59">
        <f t="shared" si="46"/>
        <v>8007.299999999981</v>
      </c>
      <c r="AJ49" s="59">
        <f t="shared" si="47"/>
        <v>3385.199999999996</v>
      </c>
      <c r="AK49" s="59">
        <f t="shared" si="48"/>
        <v>976.4999999999995</v>
      </c>
      <c r="AL49" s="59">
        <f t="shared" si="49"/>
        <v>0</v>
      </c>
      <c r="AM49" s="59">
        <f t="shared" si="50"/>
        <v>0</v>
      </c>
      <c r="AN49" s="59">
        <f t="shared" si="51"/>
        <v>0</v>
      </c>
      <c r="AO49" s="59">
        <f t="shared" si="52"/>
        <v>0</v>
      </c>
      <c r="AP49" s="59">
        <f t="shared" si="53"/>
        <v>0</v>
      </c>
      <c r="AQ49" s="59">
        <f t="shared" si="54"/>
        <v>0</v>
      </c>
      <c r="AR49" s="256">
        <f t="shared" si="55"/>
        <v>0</v>
      </c>
      <c r="AS49" s="245">
        <f t="shared" si="56"/>
        <v>189588.54340611352</v>
      </c>
      <c r="AT49" s="254">
        <f t="shared" si="57"/>
        <v>0</v>
      </c>
      <c r="AU49" s="236">
        <f t="shared" si="58"/>
        <v>53835.97999999995</v>
      </c>
      <c r="AV49" s="59">
        <f t="shared" si="59"/>
        <v>0</v>
      </c>
      <c r="AW49" s="59">
        <f t="shared" si="60"/>
        <v>0</v>
      </c>
      <c r="AX49" s="59">
        <f t="shared" si="61"/>
        <v>0</v>
      </c>
      <c r="AY49" s="256">
        <v>140000</v>
      </c>
      <c r="AZ49" s="258">
        <v>7750</v>
      </c>
      <c r="BA49" s="258">
        <v>-4700.69</v>
      </c>
      <c r="BB49" s="236"/>
      <c r="BC49" s="59"/>
      <c r="BD49" s="60">
        <v>0</v>
      </c>
      <c r="BE49" s="58">
        <f t="shared" si="62"/>
        <v>1021265.9927581804</v>
      </c>
      <c r="BF49" s="59">
        <f t="shared" si="63"/>
        <v>341875.2009061135</v>
      </c>
      <c r="BG49" s="59">
        <f t="shared" si="64"/>
        <v>143049.31</v>
      </c>
      <c r="BH49" s="60">
        <f t="shared" si="65"/>
        <v>53835.97999999995</v>
      </c>
      <c r="BI49" s="34">
        <f t="shared" si="66"/>
        <v>1506190.5036642938</v>
      </c>
      <c r="BJ49" s="59">
        <f t="shared" si="67"/>
        <v>1506190.5036642938</v>
      </c>
      <c r="BK49" s="60">
        <f t="shared" si="68"/>
        <v>0</v>
      </c>
      <c r="BL49" s="58">
        <f t="shared" si="69"/>
        <v>1363141.1936642937</v>
      </c>
      <c r="BM49" s="59">
        <v>4246.545740685495</v>
      </c>
      <c r="BN49" s="59">
        <v>4174.119265923568</v>
      </c>
      <c r="BO49" s="33">
        <f t="shared" si="70"/>
        <v>0.01735131896043275</v>
      </c>
      <c r="BP49" s="204">
        <f t="shared" si="71"/>
        <v>0</v>
      </c>
      <c r="BQ49" s="60">
        <f t="shared" si="72"/>
        <v>0</v>
      </c>
      <c r="BR49" s="205">
        <f t="shared" si="73"/>
        <v>1506190.5036642938</v>
      </c>
      <c r="BS49" s="91">
        <f t="shared" si="74"/>
        <v>0</v>
      </c>
      <c r="BT49" s="91">
        <f t="shared" si="75"/>
        <v>391.62</v>
      </c>
      <c r="BU49" s="97">
        <f t="shared" si="76"/>
        <v>1505798.8836642937</v>
      </c>
      <c r="BV49" s="10"/>
      <c r="BW49" s="116">
        <f>VLOOKUP(A49,'EYSFF Universal Hrs'!$A$159:$W$216,23,0)</f>
        <v>304978.7265317427</v>
      </c>
      <c r="BX49" s="385">
        <f>VLOOKUP(A49,'EYSFF Extended Hrs'!$A$115:$W$172,11,0)</f>
        <v>0</v>
      </c>
      <c r="BY49" s="23"/>
      <c r="BZ49" s="23"/>
      <c r="CA49" s="225">
        <f>VLOOKUP(A49,'Top Up SEN'!A:E,5,0)</f>
        <v>43367</v>
      </c>
      <c r="CB49" s="225">
        <f>VLOOKUP(A49,'2% threshold'!A:H,8,0)</f>
        <v>0</v>
      </c>
      <c r="CC49" s="212"/>
      <c r="CD49" s="433">
        <f>VLOOKUP(A49,'[4]Pupil Premuim'!$B:$G,6,0)</f>
        <v>91080</v>
      </c>
      <c r="CE49" s="433">
        <v>0</v>
      </c>
      <c r="CF49" s="433">
        <f>VLOOKUP(A49,'[4]Pupil Premuim'!$T:$Z,7,0)</f>
        <v>2300</v>
      </c>
      <c r="CG49" s="433">
        <f>VLOOKUP(A49,'[4]PE+Sports'!$B$5:$P$54,15,0)</f>
        <v>18290</v>
      </c>
      <c r="CH49" s="433">
        <f>VLOOKUP(A49,'[4]UIFSM'!$B$5:$K$43,10,0)</f>
        <v>106191</v>
      </c>
      <c r="CI49" s="433"/>
      <c r="CJ49" s="433"/>
      <c r="CK49" s="433"/>
    </row>
    <row r="50" spans="1:89" ht="15">
      <c r="A50" s="37">
        <v>5204</v>
      </c>
      <c r="B50" s="115" t="s">
        <v>40</v>
      </c>
      <c r="C50" s="251">
        <v>163</v>
      </c>
      <c r="D50" s="254">
        <v>163</v>
      </c>
      <c r="E50" s="254">
        <v>0</v>
      </c>
      <c r="F50" s="254">
        <v>0</v>
      </c>
      <c r="G50" s="238">
        <v>0</v>
      </c>
      <c r="H50" s="254">
        <v>26.721311475409834</v>
      </c>
      <c r="I50" s="238">
        <v>0</v>
      </c>
      <c r="J50" s="254">
        <v>32.99999999999994</v>
      </c>
      <c r="K50" s="238">
        <v>19.999999999999922</v>
      </c>
      <c r="L50" s="254">
        <v>0.9999999999999993</v>
      </c>
      <c r="M50" s="238">
        <v>1.9999999999999922</v>
      </c>
      <c r="N50" s="254">
        <v>0</v>
      </c>
      <c r="O50" s="238">
        <v>0</v>
      </c>
      <c r="P50" s="254">
        <v>0</v>
      </c>
      <c r="Q50" s="238">
        <v>0</v>
      </c>
      <c r="R50" s="254">
        <v>0</v>
      </c>
      <c r="S50" s="254">
        <v>0</v>
      </c>
      <c r="T50" s="238">
        <v>0</v>
      </c>
      <c r="U50" s="254">
        <v>0</v>
      </c>
      <c r="V50" s="238">
        <v>97.8</v>
      </c>
      <c r="W50" s="254">
        <v>0</v>
      </c>
      <c r="X50" s="248">
        <v>21.113260176991176</v>
      </c>
      <c r="Y50" s="248">
        <v>0</v>
      </c>
      <c r="Z50" s="248">
        <v>0</v>
      </c>
      <c r="AA50" s="241">
        <v>0</v>
      </c>
      <c r="AB50" s="58">
        <f t="shared" si="39"/>
        <v>518586.7813694187</v>
      </c>
      <c r="AC50" s="59">
        <f t="shared" si="40"/>
        <v>0</v>
      </c>
      <c r="AD50" s="59">
        <f t="shared" si="41"/>
        <v>0</v>
      </c>
      <c r="AE50" s="59">
        <f t="shared" si="42"/>
        <v>26663.59344262295</v>
      </c>
      <c r="AF50" s="59">
        <f t="shared" si="43"/>
        <v>0</v>
      </c>
      <c r="AG50" s="59">
        <f t="shared" si="44"/>
        <v>2148.299999999996</v>
      </c>
      <c r="AH50" s="59">
        <f t="shared" si="45"/>
        <v>2603.9999999999895</v>
      </c>
      <c r="AI50" s="59">
        <f t="shared" si="46"/>
        <v>195.29999999999987</v>
      </c>
      <c r="AJ50" s="59">
        <f t="shared" si="47"/>
        <v>520.7999999999979</v>
      </c>
      <c r="AK50" s="59">
        <f t="shared" si="48"/>
        <v>0</v>
      </c>
      <c r="AL50" s="59">
        <f t="shared" si="49"/>
        <v>0</v>
      </c>
      <c r="AM50" s="59">
        <f t="shared" si="50"/>
        <v>0</v>
      </c>
      <c r="AN50" s="59">
        <f t="shared" si="51"/>
        <v>0</v>
      </c>
      <c r="AO50" s="59">
        <f t="shared" si="52"/>
        <v>0</v>
      </c>
      <c r="AP50" s="59">
        <f t="shared" si="53"/>
        <v>0</v>
      </c>
      <c r="AQ50" s="59">
        <f t="shared" si="54"/>
        <v>0</v>
      </c>
      <c r="AR50" s="256">
        <f t="shared" si="55"/>
        <v>0</v>
      </c>
      <c r="AS50" s="245">
        <f t="shared" si="56"/>
        <v>72282.024</v>
      </c>
      <c r="AT50" s="254">
        <f t="shared" si="57"/>
        <v>0</v>
      </c>
      <c r="AU50" s="236">
        <f t="shared" si="58"/>
        <v>23224.586194690295</v>
      </c>
      <c r="AV50" s="59">
        <f t="shared" si="59"/>
        <v>0</v>
      </c>
      <c r="AW50" s="59">
        <f t="shared" si="60"/>
        <v>0</v>
      </c>
      <c r="AX50" s="59">
        <f t="shared" si="61"/>
        <v>0</v>
      </c>
      <c r="AY50" s="256">
        <v>140000</v>
      </c>
      <c r="AZ50" s="258">
        <v>4392</v>
      </c>
      <c r="BA50" s="258">
        <v>30.8</v>
      </c>
      <c r="BB50" s="236"/>
      <c r="BC50" s="59"/>
      <c r="BD50" s="60">
        <v>0</v>
      </c>
      <c r="BE50" s="58">
        <f t="shared" si="62"/>
        <v>518586.7813694187</v>
      </c>
      <c r="BF50" s="59">
        <f t="shared" si="63"/>
        <v>127638.60363731324</v>
      </c>
      <c r="BG50" s="59">
        <f t="shared" si="64"/>
        <v>144422.8</v>
      </c>
      <c r="BH50" s="60">
        <f t="shared" si="65"/>
        <v>23224.586194690295</v>
      </c>
      <c r="BI50" s="34">
        <f t="shared" si="66"/>
        <v>790648.1850067319</v>
      </c>
      <c r="BJ50" s="59">
        <f t="shared" si="67"/>
        <v>790648.1850067319</v>
      </c>
      <c r="BK50" s="60">
        <f t="shared" si="68"/>
        <v>0</v>
      </c>
      <c r="BL50" s="58">
        <f t="shared" si="69"/>
        <v>646225.3850067318</v>
      </c>
      <c r="BM50" s="59">
        <v>3964.5729061639995</v>
      </c>
      <c r="BN50" s="59">
        <v>3875.20580989011</v>
      </c>
      <c r="BO50" s="33">
        <f t="shared" si="70"/>
        <v>0.023061251623284477</v>
      </c>
      <c r="BP50" s="204">
        <f t="shared" si="71"/>
        <v>0</v>
      </c>
      <c r="BQ50" s="60">
        <f t="shared" si="72"/>
        <v>0</v>
      </c>
      <c r="BR50" s="205">
        <f t="shared" si="73"/>
        <v>790648.1850067319</v>
      </c>
      <c r="BS50" s="91">
        <f t="shared" si="74"/>
        <v>0</v>
      </c>
      <c r="BT50" s="91">
        <f t="shared" si="75"/>
        <v>198.85999999999999</v>
      </c>
      <c r="BU50" s="97">
        <f t="shared" si="76"/>
        <v>790449.3250067319</v>
      </c>
      <c r="BV50" s="10"/>
      <c r="BW50" s="116">
        <f>VLOOKUP(A50,'EYSFF Universal Hrs'!$A$159:$W$216,23,0)</f>
        <v>175952.1078650873</v>
      </c>
      <c r="BX50" s="385">
        <f>VLOOKUP(A50,'EYSFF Extended Hrs'!$A$115:$W$172,11,0)</f>
        <v>30840.51619404954</v>
      </c>
      <c r="BY50" s="23"/>
      <c r="BZ50" s="23"/>
      <c r="CA50" s="225">
        <f>VLOOKUP(A50,'Top Up SEN'!A:E,5,0)</f>
        <v>9792</v>
      </c>
      <c r="CB50" s="225">
        <f>VLOOKUP(A50,'2% threshold'!A:H,8,0)</f>
        <v>6000</v>
      </c>
      <c r="CC50" s="212"/>
      <c r="CD50" s="433">
        <f>VLOOKUP(A50,'[4]Pupil Premuim'!$B:$G,6,0)</f>
        <v>38280</v>
      </c>
      <c r="CE50" s="433">
        <f>VLOOKUP(A50,'[4]Pupil Premuim'!$K:$P,6,0)</f>
        <v>900</v>
      </c>
      <c r="CF50" s="433">
        <f>VLOOKUP(A50,'[4]Pupil Premuim'!$T:$Z,7,0)</f>
        <v>2300</v>
      </c>
      <c r="CG50" s="433">
        <f>VLOOKUP(A50,'[4]PE+Sports'!$B$5:$P$54,15,0)</f>
        <v>17200</v>
      </c>
      <c r="CH50" s="433">
        <f>VLOOKUP(A50,'[4]UIFSM'!$B$5:$K$43,10,0)</f>
        <v>51129</v>
      </c>
      <c r="CI50" s="433"/>
      <c r="CJ50" s="433"/>
      <c r="CK50" s="433"/>
    </row>
    <row r="51" spans="1:89" ht="15">
      <c r="A51" s="37">
        <v>5205</v>
      </c>
      <c r="B51" s="93" t="s">
        <v>41</v>
      </c>
      <c r="C51" s="251">
        <v>235</v>
      </c>
      <c r="D51" s="254">
        <v>235</v>
      </c>
      <c r="E51" s="254">
        <v>0</v>
      </c>
      <c r="F51" s="254">
        <v>0</v>
      </c>
      <c r="G51" s="238">
        <v>0</v>
      </c>
      <c r="H51" s="254">
        <v>49.84848484848485</v>
      </c>
      <c r="I51" s="238">
        <v>0</v>
      </c>
      <c r="J51" s="254">
        <v>33.141025641025635</v>
      </c>
      <c r="K51" s="238">
        <v>28.119658119658197</v>
      </c>
      <c r="L51" s="254">
        <v>1.0042735042735034</v>
      </c>
      <c r="M51" s="238">
        <v>3.012820512820508</v>
      </c>
      <c r="N51" s="254">
        <v>0</v>
      </c>
      <c r="O51" s="238">
        <v>0</v>
      </c>
      <c r="P51" s="254">
        <v>0</v>
      </c>
      <c r="Q51" s="238">
        <v>0</v>
      </c>
      <c r="R51" s="254">
        <v>0</v>
      </c>
      <c r="S51" s="254">
        <v>0</v>
      </c>
      <c r="T51" s="238">
        <v>0</v>
      </c>
      <c r="U51" s="254">
        <v>0</v>
      </c>
      <c r="V51" s="238">
        <v>53.99999999999996</v>
      </c>
      <c r="W51" s="254">
        <v>0</v>
      </c>
      <c r="X51" s="248">
        <v>59.46584979591836</v>
      </c>
      <c r="Y51" s="248">
        <v>0</v>
      </c>
      <c r="Z51" s="248">
        <v>0</v>
      </c>
      <c r="AA51" s="241">
        <v>0</v>
      </c>
      <c r="AB51" s="58">
        <f t="shared" si="39"/>
        <v>747655.7890908797</v>
      </c>
      <c r="AC51" s="59">
        <f t="shared" si="40"/>
        <v>0</v>
      </c>
      <c r="AD51" s="59">
        <f t="shared" si="41"/>
        <v>0</v>
      </c>
      <c r="AE51" s="59">
        <f t="shared" si="42"/>
        <v>49740.812121212126</v>
      </c>
      <c r="AF51" s="59">
        <f t="shared" si="43"/>
        <v>0</v>
      </c>
      <c r="AG51" s="59">
        <f t="shared" si="44"/>
        <v>2157.4807692307686</v>
      </c>
      <c r="AH51" s="59">
        <f t="shared" si="45"/>
        <v>3661.179487179497</v>
      </c>
      <c r="AI51" s="59">
        <f t="shared" si="46"/>
        <v>196.13461538461522</v>
      </c>
      <c r="AJ51" s="59">
        <f t="shared" si="47"/>
        <v>784.5384615384602</v>
      </c>
      <c r="AK51" s="59">
        <f t="shared" si="48"/>
        <v>0</v>
      </c>
      <c r="AL51" s="59">
        <f t="shared" si="49"/>
        <v>0</v>
      </c>
      <c r="AM51" s="59">
        <f t="shared" si="50"/>
        <v>0</v>
      </c>
      <c r="AN51" s="59">
        <f t="shared" si="51"/>
        <v>0</v>
      </c>
      <c r="AO51" s="59">
        <f t="shared" si="52"/>
        <v>0</v>
      </c>
      <c r="AP51" s="59">
        <f t="shared" si="53"/>
        <v>0</v>
      </c>
      <c r="AQ51" s="59">
        <f t="shared" si="54"/>
        <v>0</v>
      </c>
      <c r="AR51" s="256">
        <f t="shared" si="55"/>
        <v>0</v>
      </c>
      <c r="AS51" s="245">
        <f t="shared" si="56"/>
        <v>39910.31999999997</v>
      </c>
      <c r="AT51" s="254">
        <f t="shared" si="57"/>
        <v>0</v>
      </c>
      <c r="AU51" s="236">
        <f t="shared" si="58"/>
        <v>65412.43477551019</v>
      </c>
      <c r="AV51" s="59">
        <f t="shared" si="59"/>
        <v>0</v>
      </c>
      <c r="AW51" s="59">
        <f t="shared" si="60"/>
        <v>0</v>
      </c>
      <c r="AX51" s="59">
        <f t="shared" si="61"/>
        <v>0</v>
      </c>
      <c r="AY51" s="256">
        <v>140000</v>
      </c>
      <c r="AZ51" s="258">
        <v>4392</v>
      </c>
      <c r="BA51" s="258">
        <v>30.8</v>
      </c>
      <c r="BB51" s="236"/>
      <c r="BC51" s="59"/>
      <c r="BD51" s="60">
        <v>0</v>
      </c>
      <c r="BE51" s="58">
        <f t="shared" si="62"/>
        <v>747655.7890908797</v>
      </c>
      <c r="BF51" s="59">
        <f t="shared" si="63"/>
        <v>161862.90023005562</v>
      </c>
      <c r="BG51" s="59">
        <f t="shared" si="64"/>
        <v>144422.8</v>
      </c>
      <c r="BH51" s="60">
        <f t="shared" si="65"/>
        <v>65412.43477551019</v>
      </c>
      <c r="BI51" s="34">
        <f t="shared" si="66"/>
        <v>1053941.4893209354</v>
      </c>
      <c r="BJ51" s="59">
        <f t="shared" si="67"/>
        <v>1053941.4893209354</v>
      </c>
      <c r="BK51" s="60">
        <f t="shared" si="68"/>
        <v>0</v>
      </c>
      <c r="BL51" s="58">
        <f t="shared" si="69"/>
        <v>909518.6893209354</v>
      </c>
      <c r="BM51" s="59">
        <v>3870.2922866365498</v>
      </c>
      <c r="BN51" s="59">
        <v>3690.36334</v>
      </c>
      <c r="BO51" s="33">
        <f t="shared" si="70"/>
        <v>0.048756431293984694</v>
      </c>
      <c r="BP51" s="204">
        <f t="shared" si="71"/>
        <v>0</v>
      </c>
      <c r="BQ51" s="60">
        <f t="shared" si="72"/>
        <v>0</v>
      </c>
      <c r="BR51" s="205">
        <f t="shared" si="73"/>
        <v>1053941.4893209354</v>
      </c>
      <c r="BS51" s="91">
        <f t="shared" si="74"/>
        <v>0</v>
      </c>
      <c r="BT51" s="91">
        <f t="shared" si="75"/>
        <v>286.7</v>
      </c>
      <c r="BU51" s="97">
        <f t="shared" si="76"/>
        <v>1053654.7893209355</v>
      </c>
      <c r="BV51" s="10"/>
      <c r="BW51" s="116"/>
      <c r="BX51" s="385"/>
      <c r="BY51" s="23"/>
      <c r="BZ51" s="23"/>
      <c r="CA51" s="225">
        <f>VLOOKUP(A51,'Top Up SEN'!A:E,5,0)</f>
        <v>42908</v>
      </c>
      <c r="CB51" s="225">
        <f>VLOOKUP(A51,'2% threshold'!A:H,8,0)</f>
        <v>6000</v>
      </c>
      <c r="CC51" s="212"/>
      <c r="CD51" s="433">
        <f>VLOOKUP(A51,'[4]Pupil Premuim'!$B:$G,6,0)</f>
        <v>64680</v>
      </c>
      <c r="CE51" s="433">
        <f>VLOOKUP(A51,'[4]Pupil Premuim'!$K:$P,6,0)</f>
        <v>300</v>
      </c>
      <c r="CF51" s="433">
        <v>0</v>
      </c>
      <c r="CG51" s="433">
        <f>VLOOKUP(A51,'[4]PE+Sports'!$B$5:$P$54,15,0)</f>
        <v>18350</v>
      </c>
      <c r="CH51" s="433"/>
      <c r="CI51" s="433"/>
      <c r="CJ51" s="433"/>
      <c r="CK51" s="433"/>
    </row>
    <row r="52" spans="1:89" ht="15">
      <c r="A52" s="37">
        <v>5208</v>
      </c>
      <c r="B52" s="115" t="s">
        <v>99</v>
      </c>
      <c r="C52" s="251">
        <v>204</v>
      </c>
      <c r="D52" s="254">
        <v>204</v>
      </c>
      <c r="E52" s="254">
        <v>0</v>
      </c>
      <c r="F52" s="254">
        <v>0</v>
      </c>
      <c r="G52" s="238">
        <v>0</v>
      </c>
      <c r="H52" s="254">
        <v>32.21052631578947</v>
      </c>
      <c r="I52" s="238">
        <v>0</v>
      </c>
      <c r="J52" s="254">
        <v>45.99999999999992</v>
      </c>
      <c r="K52" s="238">
        <v>84.00000000000001</v>
      </c>
      <c r="L52" s="254">
        <v>16.999999999999993</v>
      </c>
      <c r="M52" s="238">
        <v>4.999999999999995</v>
      </c>
      <c r="N52" s="254">
        <v>2</v>
      </c>
      <c r="O52" s="238">
        <v>0</v>
      </c>
      <c r="P52" s="254">
        <v>0</v>
      </c>
      <c r="Q52" s="238">
        <v>0</v>
      </c>
      <c r="R52" s="254">
        <v>0</v>
      </c>
      <c r="S52" s="254">
        <v>0</v>
      </c>
      <c r="T52" s="238">
        <v>0</v>
      </c>
      <c r="U52" s="254">
        <v>0</v>
      </c>
      <c r="V52" s="238">
        <v>32.82758620689654</v>
      </c>
      <c r="W52" s="254">
        <v>0</v>
      </c>
      <c r="X52" s="248">
        <v>29.08845714285715</v>
      </c>
      <c r="Y52" s="248">
        <v>0</v>
      </c>
      <c r="Z52" s="248">
        <v>0</v>
      </c>
      <c r="AA52" s="241">
        <v>0</v>
      </c>
      <c r="AB52" s="58">
        <f t="shared" si="39"/>
        <v>649028.8552108062</v>
      </c>
      <c r="AC52" s="59">
        <f t="shared" si="40"/>
        <v>0</v>
      </c>
      <c r="AD52" s="59">
        <f t="shared" si="41"/>
        <v>0</v>
      </c>
      <c r="AE52" s="59">
        <f t="shared" si="42"/>
        <v>32140.95157894737</v>
      </c>
      <c r="AF52" s="59">
        <f t="shared" si="43"/>
        <v>0</v>
      </c>
      <c r="AG52" s="59">
        <f t="shared" si="44"/>
        <v>2994.5999999999945</v>
      </c>
      <c r="AH52" s="59">
        <f t="shared" si="45"/>
        <v>10936.800000000001</v>
      </c>
      <c r="AI52" s="59">
        <f t="shared" si="46"/>
        <v>3320.099999999999</v>
      </c>
      <c r="AJ52" s="59">
        <f t="shared" si="47"/>
        <v>1301.9999999999984</v>
      </c>
      <c r="AK52" s="59">
        <f t="shared" si="48"/>
        <v>651</v>
      </c>
      <c r="AL52" s="59">
        <f t="shared" si="49"/>
        <v>0</v>
      </c>
      <c r="AM52" s="59">
        <f t="shared" si="50"/>
        <v>0</v>
      </c>
      <c r="AN52" s="59">
        <f t="shared" si="51"/>
        <v>0</v>
      </c>
      <c r="AO52" s="59">
        <f t="shared" si="52"/>
        <v>0</v>
      </c>
      <c r="AP52" s="59">
        <f t="shared" si="53"/>
        <v>0</v>
      </c>
      <c r="AQ52" s="59">
        <f t="shared" si="54"/>
        <v>0</v>
      </c>
      <c r="AR52" s="256">
        <f t="shared" si="55"/>
        <v>0</v>
      </c>
      <c r="AS52" s="245">
        <f t="shared" si="56"/>
        <v>24262.212413793095</v>
      </c>
      <c r="AT52" s="254">
        <f t="shared" si="57"/>
        <v>0</v>
      </c>
      <c r="AU52" s="236">
        <f t="shared" si="58"/>
        <v>31997.302857142862</v>
      </c>
      <c r="AV52" s="59">
        <f t="shared" si="59"/>
        <v>0</v>
      </c>
      <c r="AW52" s="59">
        <f t="shared" si="60"/>
        <v>0</v>
      </c>
      <c r="AX52" s="59">
        <f t="shared" si="61"/>
        <v>0</v>
      </c>
      <c r="AY52" s="256">
        <v>140000</v>
      </c>
      <c r="AZ52" s="258">
        <v>3888</v>
      </c>
      <c r="BA52" s="258">
        <v>-448.92</v>
      </c>
      <c r="BB52" s="236"/>
      <c r="BC52" s="59"/>
      <c r="BD52" s="60">
        <v>0</v>
      </c>
      <c r="BE52" s="58">
        <f t="shared" si="62"/>
        <v>649028.8552108062</v>
      </c>
      <c r="BF52" s="59">
        <f t="shared" si="63"/>
        <v>107604.96684988332</v>
      </c>
      <c r="BG52" s="59">
        <f t="shared" si="64"/>
        <v>143439.08</v>
      </c>
      <c r="BH52" s="60">
        <f t="shared" si="65"/>
        <v>31997.302857142862</v>
      </c>
      <c r="BI52" s="34">
        <f t="shared" si="66"/>
        <v>900072.9020606895</v>
      </c>
      <c r="BJ52" s="59">
        <f t="shared" si="67"/>
        <v>900072.9020606895</v>
      </c>
      <c r="BK52" s="60">
        <f t="shared" si="68"/>
        <v>0</v>
      </c>
      <c r="BL52" s="58">
        <f t="shared" si="69"/>
        <v>756633.8220606896</v>
      </c>
      <c r="BM52" s="59">
        <v>3708.989299893086</v>
      </c>
      <c r="BN52" s="59">
        <v>3522.831534761905</v>
      </c>
      <c r="BO52" s="33">
        <f t="shared" si="70"/>
        <v>0.05284322094152101</v>
      </c>
      <c r="BP52" s="204">
        <f t="shared" si="71"/>
        <v>0</v>
      </c>
      <c r="BQ52" s="60">
        <f t="shared" si="72"/>
        <v>0</v>
      </c>
      <c r="BR52" s="205">
        <f t="shared" si="73"/>
        <v>900072.9020606895</v>
      </c>
      <c r="BS52" s="91">
        <f t="shared" si="74"/>
        <v>0</v>
      </c>
      <c r="BT52" s="91">
        <f t="shared" si="75"/>
        <v>248.88</v>
      </c>
      <c r="BU52" s="97">
        <f t="shared" si="76"/>
        <v>899824.0220606895</v>
      </c>
      <c r="BV52" s="10"/>
      <c r="BW52" s="116">
        <f>VLOOKUP(A52,'EYSFF Universal Hrs'!$A$159:$W$216,23,0)</f>
        <v>48626.18757510329</v>
      </c>
      <c r="BX52" s="385">
        <f>VLOOKUP(A52,'EYSFF Extended Hrs'!$A$115:$W$172,11,0)</f>
        <v>0</v>
      </c>
      <c r="BY52" s="23"/>
      <c r="BZ52" s="23"/>
      <c r="CA52" s="225">
        <f>VLOOKUP(A52,'Top Up SEN'!A:E,5,0)</f>
        <v>34200</v>
      </c>
      <c r="CB52" s="225">
        <f>VLOOKUP(A52,'2% threshold'!A:H,8,0)</f>
        <v>0</v>
      </c>
      <c r="CC52" s="212"/>
      <c r="CD52" s="433">
        <f>VLOOKUP(A52,'[4]Pupil Premuim'!$B:$G,6,0)</f>
        <v>42240</v>
      </c>
      <c r="CE52" s="433">
        <f>VLOOKUP(A52,'[4]Pupil Premuim'!$K:$P,6,0)</f>
        <v>1800</v>
      </c>
      <c r="CF52" s="433">
        <f>VLOOKUP(A52,'[4]Pupil Premuim'!$T:$Z,7,0)</f>
        <v>6900</v>
      </c>
      <c r="CG52" s="433">
        <f>VLOOKUP(A52,'[4]PE+Sports'!$B$5:$P$54,15,0)</f>
        <v>17740</v>
      </c>
      <c r="CH52" s="433">
        <f>VLOOKUP(A52,'[4]UIFSM'!$B$5:$K$43,10,0)</f>
        <v>28405</v>
      </c>
      <c r="CI52" s="433"/>
      <c r="CJ52" s="433"/>
      <c r="CK52" s="433"/>
    </row>
    <row r="53" spans="1:89" ht="15">
      <c r="A53" s="37">
        <v>5211</v>
      </c>
      <c r="B53" s="115" t="s">
        <v>43</v>
      </c>
      <c r="C53" s="251">
        <v>627</v>
      </c>
      <c r="D53" s="254">
        <v>627</v>
      </c>
      <c r="E53" s="254">
        <v>0</v>
      </c>
      <c r="F53" s="254">
        <v>0</v>
      </c>
      <c r="G53" s="238">
        <v>0</v>
      </c>
      <c r="H53" s="254">
        <v>102.8671875</v>
      </c>
      <c r="I53" s="238">
        <v>0</v>
      </c>
      <c r="J53" s="254">
        <v>187.99999999999991</v>
      </c>
      <c r="K53" s="238">
        <v>54</v>
      </c>
      <c r="L53" s="254">
        <v>42.00000000000003</v>
      </c>
      <c r="M53" s="238">
        <v>16.999999999999982</v>
      </c>
      <c r="N53" s="254">
        <v>0</v>
      </c>
      <c r="O53" s="238">
        <v>0</v>
      </c>
      <c r="P53" s="254">
        <v>0</v>
      </c>
      <c r="Q53" s="238">
        <v>0</v>
      </c>
      <c r="R53" s="254">
        <v>0</v>
      </c>
      <c r="S53" s="254">
        <v>0</v>
      </c>
      <c r="T53" s="238">
        <v>0</v>
      </c>
      <c r="U53" s="254">
        <v>0</v>
      </c>
      <c r="V53" s="238">
        <v>195.79182156133825</v>
      </c>
      <c r="W53" s="254">
        <v>0</v>
      </c>
      <c r="X53" s="248">
        <v>111.34633077039045</v>
      </c>
      <c r="Y53" s="248">
        <v>0</v>
      </c>
      <c r="Z53" s="248">
        <v>0</v>
      </c>
      <c r="AA53" s="241">
        <v>0</v>
      </c>
      <c r="AB53" s="58">
        <f t="shared" si="39"/>
        <v>1994809.2755743896</v>
      </c>
      <c r="AC53" s="59">
        <f t="shared" si="40"/>
        <v>0</v>
      </c>
      <c r="AD53" s="59">
        <f t="shared" si="41"/>
        <v>0</v>
      </c>
      <c r="AE53" s="59">
        <f t="shared" si="42"/>
        <v>102644.99437500001</v>
      </c>
      <c r="AF53" s="59">
        <f t="shared" si="43"/>
        <v>0</v>
      </c>
      <c r="AG53" s="59">
        <f t="shared" si="44"/>
        <v>12238.799999999994</v>
      </c>
      <c r="AH53" s="59">
        <f t="shared" si="45"/>
        <v>7030.799999999999</v>
      </c>
      <c r="AI53" s="59">
        <f t="shared" si="46"/>
        <v>8202.600000000006</v>
      </c>
      <c r="AJ53" s="59">
        <f t="shared" si="47"/>
        <v>4426.799999999995</v>
      </c>
      <c r="AK53" s="59">
        <f t="shared" si="48"/>
        <v>0</v>
      </c>
      <c r="AL53" s="59">
        <f t="shared" si="49"/>
        <v>0</v>
      </c>
      <c r="AM53" s="59">
        <f t="shared" si="50"/>
        <v>0</v>
      </c>
      <c r="AN53" s="59">
        <f t="shared" si="51"/>
        <v>0</v>
      </c>
      <c r="AO53" s="59">
        <f t="shared" si="52"/>
        <v>0</v>
      </c>
      <c r="AP53" s="59">
        <f t="shared" si="53"/>
        <v>0</v>
      </c>
      <c r="AQ53" s="59">
        <f t="shared" si="54"/>
        <v>0</v>
      </c>
      <c r="AR53" s="256">
        <f t="shared" si="55"/>
        <v>0</v>
      </c>
      <c r="AS53" s="245">
        <f t="shared" si="56"/>
        <v>144705.81947955387</v>
      </c>
      <c r="AT53" s="254">
        <f t="shared" si="57"/>
        <v>0</v>
      </c>
      <c r="AU53" s="236">
        <f t="shared" si="58"/>
        <v>122480.96384742949</v>
      </c>
      <c r="AV53" s="59">
        <f t="shared" si="59"/>
        <v>0</v>
      </c>
      <c r="AW53" s="59">
        <f t="shared" si="60"/>
        <v>0</v>
      </c>
      <c r="AX53" s="59">
        <f t="shared" si="61"/>
        <v>0</v>
      </c>
      <c r="AY53" s="256">
        <v>140000</v>
      </c>
      <c r="AZ53" s="258">
        <v>11500</v>
      </c>
      <c r="BA53" s="258">
        <v>121.54</v>
      </c>
      <c r="BB53" s="236"/>
      <c r="BC53" s="59"/>
      <c r="BD53" s="60">
        <v>0</v>
      </c>
      <c r="BE53" s="58">
        <f t="shared" si="62"/>
        <v>1994809.2755743896</v>
      </c>
      <c r="BF53" s="59">
        <f t="shared" si="63"/>
        <v>401730.77770198334</v>
      </c>
      <c r="BG53" s="59">
        <f t="shared" si="64"/>
        <v>151621.54</v>
      </c>
      <c r="BH53" s="60">
        <f t="shared" si="65"/>
        <v>122480.96384742949</v>
      </c>
      <c r="BI53" s="34">
        <f t="shared" si="66"/>
        <v>2548161.593276373</v>
      </c>
      <c r="BJ53" s="59">
        <f t="shared" si="67"/>
        <v>2548161.593276373</v>
      </c>
      <c r="BK53" s="60">
        <f t="shared" si="68"/>
        <v>0</v>
      </c>
      <c r="BL53" s="58">
        <f t="shared" si="69"/>
        <v>2396540.053276373</v>
      </c>
      <c r="BM53" s="59">
        <v>3822.2329221840077</v>
      </c>
      <c r="BN53" s="59">
        <v>3694.447718108974</v>
      </c>
      <c r="BO53" s="33">
        <f t="shared" si="70"/>
        <v>0.03458844564200281</v>
      </c>
      <c r="BP53" s="204">
        <f t="shared" si="71"/>
        <v>0</v>
      </c>
      <c r="BQ53" s="60">
        <f t="shared" si="72"/>
        <v>0</v>
      </c>
      <c r="BR53" s="205">
        <f t="shared" si="73"/>
        <v>2548161.593276373</v>
      </c>
      <c r="BS53" s="91">
        <f t="shared" si="74"/>
        <v>0</v>
      </c>
      <c r="BT53" s="91">
        <f t="shared" si="75"/>
        <v>764.9399999999999</v>
      </c>
      <c r="BU53" s="97">
        <f t="shared" si="76"/>
        <v>2547396.653276373</v>
      </c>
      <c r="BV53" s="10"/>
      <c r="BW53" s="116">
        <f>VLOOKUP(A53,'EYSFF Universal Hrs'!$A$159:$W$216,23,0)</f>
        <v>259169.81847205877</v>
      </c>
      <c r="BX53" s="385">
        <f>VLOOKUP(A53,'EYSFF Extended Hrs'!$A$115:$W$172,11,0)</f>
        <v>0</v>
      </c>
      <c r="BY53" s="23"/>
      <c r="BZ53" s="23"/>
      <c r="CA53" s="225">
        <f>VLOOKUP(A53,'Top Up SEN'!A:E,5,0)</f>
        <v>103184</v>
      </c>
      <c r="CB53" s="225">
        <f>VLOOKUP(A53,'2% threshold'!A:H,8,0)</f>
        <v>0</v>
      </c>
      <c r="CC53" s="212"/>
      <c r="CD53" s="433">
        <f>VLOOKUP(A53,'[4]Pupil Premuim'!$B:$G,6,0)</f>
        <v>133320</v>
      </c>
      <c r="CE53" s="433">
        <v>0</v>
      </c>
      <c r="CF53" s="433">
        <f>VLOOKUP(A53,'[4]Pupil Premuim'!$T:$Z,7,0)</f>
        <v>11500</v>
      </c>
      <c r="CG53" s="433">
        <f>VLOOKUP(A53,'[4]PE+Sports'!$B$5:$P$54,15,0)</f>
        <v>21410</v>
      </c>
      <c r="CH53" s="433">
        <f>VLOOKUP(A53,'[4]UIFSM'!$B$5:$K$43,10,0)</f>
        <v>90022</v>
      </c>
      <c r="CI53" s="433"/>
      <c r="CJ53" s="433"/>
      <c r="CK53" s="433"/>
    </row>
    <row r="54" spans="1:89" ht="15">
      <c r="A54" s="37">
        <v>5409</v>
      </c>
      <c r="B54" s="10" t="s">
        <v>236</v>
      </c>
      <c r="C54" s="251">
        <v>488</v>
      </c>
      <c r="D54" s="254">
        <v>0</v>
      </c>
      <c r="E54" s="254">
        <v>488</v>
      </c>
      <c r="F54" s="254">
        <v>367</v>
      </c>
      <c r="G54" s="238">
        <v>121</v>
      </c>
      <c r="H54" s="254">
        <v>0</v>
      </c>
      <c r="I54" s="238">
        <v>179.65535248041775</v>
      </c>
      <c r="J54" s="254">
        <v>0</v>
      </c>
      <c r="K54" s="238">
        <v>0</v>
      </c>
      <c r="L54" s="254">
        <v>0</v>
      </c>
      <c r="M54" s="238">
        <v>0</v>
      </c>
      <c r="N54" s="254">
        <v>0</v>
      </c>
      <c r="O54" s="238">
        <v>0</v>
      </c>
      <c r="P54" s="254">
        <v>119.24435318275152</v>
      </c>
      <c r="Q54" s="238">
        <v>84.17248459958914</v>
      </c>
      <c r="R54" s="254">
        <v>103.21149897330604</v>
      </c>
      <c r="S54" s="254">
        <v>60.123203285421155</v>
      </c>
      <c r="T54" s="238">
        <v>12.024640657084182</v>
      </c>
      <c r="U54" s="254">
        <v>0</v>
      </c>
      <c r="V54" s="238">
        <v>0</v>
      </c>
      <c r="W54" s="254">
        <v>26.000000000000018</v>
      </c>
      <c r="X54" s="248">
        <v>0</v>
      </c>
      <c r="Y54" s="248">
        <v>125.40323538499472</v>
      </c>
      <c r="Z54" s="248">
        <v>0</v>
      </c>
      <c r="AA54" s="241">
        <v>0</v>
      </c>
      <c r="AB54" s="58">
        <f t="shared" si="39"/>
        <v>0</v>
      </c>
      <c r="AC54" s="59">
        <f t="shared" si="40"/>
        <v>1513999.500022439</v>
      </c>
      <c r="AD54" s="59">
        <f t="shared" si="41"/>
        <v>570475.1272417138</v>
      </c>
      <c r="AE54" s="59">
        <f t="shared" si="42"/>
        <v>0</v>
      </c>
      <c r="AF54" s="59">
        <f t="shared" si="43"/>
        <v>233043.5335770235</v>
      </c>
      <c r="AG54" s="59">
        <f t="shared" si="44"/>
        <v>0</v>
      </c>
      <c r="AH54" s="59">
        <f t="shared" si="45"/>
        <v>0</v>
      </c>
      <c r="AI54" s="59">
        <f t="shared" si="46"/>
        <v>0</v>
      </c>
      <c r="AJ54" s="59">
        <f t="shared" si="47"/>
        <v>0</v>
      </c>
      <c r="AK54" s="59">
        <f t="shared" si="48"/>
        <v>0</v>
      </c>
      <c r="AL54" s="59">
        <f t="shared" si="49"/>
        <v>0</v>
      </c>
      <c r="AM54" s="59">
        <f t="shared" si="50"/>
        <v>10091.64960985626</v>
      </c>
      <c r="AN54" s="59">
        <f t="shared" si="51"/>
        <v>14247.034743326458</v>
      </c>
      <c r="AO54" s="59">
        <f t="shared" si="52"/>
        <v>26204.367474332666</v>
      </c>
      <c r="AP54" s="59">
        <f t="shared" si="53"/>
        <v>20352.906776180767</v>
      </c>
      <c r="AQ54" s="59">
        <f t="shared" si="54"/>
        <v>5088.226694045172</v>
      </c>
      <c r="AR54" s="256">
        <f t="shared" si="55"/>
        <v>0</v>
      </c>
      <c r="AS54" s="245">
        <f t="shared" si="56"/>
        <v>0</v>
      </c>
      <c r="AT54" s="254">
        <f t="shared" si="57"/>
        <v>28954.64000000002</v>
      </c>
      <c r="AU54" s="236">
        <f t="shared" si="58"/>
        <v>0</v>
      </c>
      <c r="AV54" s="59">
        <f t="shared" si="59"/>
        <v>206915.33838524128</v>
      </c>
      <c r="AW54" s="59">
        <f t="shared" si="60"/>
        <v>0</v>
      </c>
      <c r="AX54" s="59">
        <f t="shared" si="61"/>
        <v>0</v>
      </c>
      <c r="AY54" s="256">
        <v>140000</v>
      </c>
      <c r="AZ54" s="258">
        <v>23875</v>
      </c>
      <c r="BA54" s="258">
        <v>3077.2</v>
      </c>
      <c r="BB54" s="236"/>
      <c r="BC54" s="59"/>
      <c r="BD54" s="60">
        <v>0</v>
      </c>
      <c r="BE54" s="58">
        <f t="shared" si="62"/>
        <v>2084474.6272641527</v>
      </c>
      <c r="BF54" s="59">
        <f t="shared" si="63"/>
        <v>544897.6972600061</v>
      </c>
      <c r="BG54" s="59">
        <f t="shared" si="64"/>
        <v>166952.2</v>
      </c>
      <c r="BH54" s="60">
        <f t="shared" si="65"/>
        <v>206915.33838524128</v>
      </c>
      <c r="BI54" s="34">
        <f t="shared" si="66"/>
        <v>2796324.524524159</v>
      </c>
      <c r="BJ54" s="59">
        <f t="shared" si="67"/>
        <v>0</v>
      </c>
      <c r="BK54" s="60">
        <f t="shared" si="68"/>
        <v>2796324.524524159</v>
      </c>
      <c r="BL54" s="58">
        <f t="shared" si="69"/>
        <v>2629372.3245241586</v>
      </c>
      <c r="BM54" s="59">
        <v>5388.066010940737</v>
      </c>
      <c r="BN54" s="59">
        <v>5501.374318181818</v>
      </c>
      <c r="BO54" s="33">
        <f t="shared" si="70"/>
        <v>-0.02059636386977006</v>
      </c>
      <c r="BP54" s="204">
        <f t="shared" si="71"/>
        <v>0.0055963638697700616</v>
      </c>
      <c r="BQ54" s="60">
        <f t="shared" si="72"/>
        <v>15024.393924556573</v>
      </c>
      <c r="BR54" s="205">
        <f t="shared" si="73"/>
        <v>2811348.9184487155</v>
      </c>
      <c r="BS54" s="91">
        <f t="shared" si="74"/>
        <v>0</v>
      </c>
      <c r="BT54" s="91">
        <f t="shared" si="75"/>
        <v>595.36</v>
      </c>
      <c r="BU54" s="97">
        <f t="shared" si="76"/>
        <v>2810753.5584487156</v>
      </c>
      <c r="BV54" s="10"/>
      <c r="BW54" s="116"/>
      <c r="BX54" s="385"/>
      <c r="BY54" s="23"/>
      <c r="BZ54" s="23"/>
      <c r="CA54" s="199">
        <f>VLOOKUP(A54,'Top Up SEN'!A:E,5,0)</f>
        <v>72541</v>
      </c>
      <c r="CB54" s="199">
        <f>VLOOKUP(A54,'2% threshold'!A:H,8,0)</f>
        <v>0</v>
      </c>
      <c r="CC54" s="212"/>
      <c r="CD54" s="433">
        <f>VLOOKUP(A54,'[4]Pupil Premuim'!$B:$G,6,0)</f>
        <v>131835</v>
      </c>
      <c r="CE54" s="433">
        <f>VLOOKUP(A54,'[4]Pupil Premuim'!$K:$P,6,0)</f>
        <v>600</v>
      </c>
      <c r="CF54" s="433">
        <v>0</v>
      </c>
      <c r="CG54" s="433"/>
      <c r="CH54" s="433"/>
      <c r="CI54" s="433"/>
      <c r="CJ54" s="433">
        <f>142789+3809</f>
        <v>146598</v>
      </c>
      <c r="CK54" s="433"/>
    </row>
    <row r="55" spans="1:89" ht="15">
      <c r="A55" s="37">
        <v>5411</v>
      </c>
      <c r="B55" s="10" t="s">
        <v>130</v>
      </c>
      <c r="C55" s="251">
        <v>983</v>
      </c>
      <c r="D55" s="254">
        <v>0</v>
      </c>
      <c r="E55" s="254">
        <v>983</v>
      </c>
      <c r="F55" s="254">
        <v>611</v>
      </c>
      <c r="G55" s="238">
        <v>372</v>
      </c>
      <c r="H55" s="254">
        <v>0</v>
      </c>
      <c r="I55" s="238">
        <v>447.20629750271445</v>
      </c>
      <c r="J55" s="254">
        <v>0</v>
      </c>
      <c r="K55" s="238">
        <v>0</v>
      </c>
      <c r="L55" s="254">
        <v>0</v>
      </c>
      <c r="M55" s="238">
        <v>0</v>
      </c>
      <c r="N55" s="254">
        <v>0</v>
      </c>
      <c r="O55" s="238">
        <v>0</v>
      </c>
      <c r="P55" s="254">
        <v>326.3319755600811</v>
      </c>
      <c r="Q55" s="238">
        <v>213.21690427698536</v>
      </c>
      <c r="R55" s="254">
        <v>149.1517311608958</v>
      </c>
      <c r="S55" s="254">
        <v>89.09063136456209</v>
      </c>
      <c r="T55" s="238">
        <v>11.011201629327863</v>
      </c>
      <c r="U55" s="254">
        <v>0</v>
      </c>
      <c r="V55" s="238">
        <v>0</v>
      </c>
      <c r="W55" s="254">
        <v>200.01738241308803</v>
      </c>
      <c r="X55" s="248">
        <v>0</v>
      </c>
      <c r="Y55" s="248">
        <v>336.5548532279265</v>
      </c>
      <c r="Z55" s="248">
        <v>0</v>
      </c>
      <c r="AA55" s="241">
        <v>77.70000000000047</v>
      </c>
      <c r="AB55" s="58">
        <f t="shared" si="39"/>
        <v>0</v>
      </c>
      <c r="AC55" s="59">
        <f t="shared" si="40"/>
        <v>2520582.2738793194</v>
      </c>
      <c r="AD55" s="59">
        <f t="shared" si="41"/>
        <v>1753857.4159827896</v>
      </c>
      <c r="AE55" s="59">
        <f t="shared" si="42"/>
        <v>0</v>
      </c>
      <c r="AF55" s="59">
        <f t="shared" si="43"/>
        <v>580102.5929315961</v>
      </c>
      <c r="AG55" s="59">
        <f t="shared" si="44"/>
        <v>0</v>
      </c>
      <c r="AH55" s="59">
        <f t="shared" si="45"/>
        <v>0</v>
      </c>
      <c r="AI55" s="59">
        <f t="shared" si="46"/>
        <v>0</v>
      </c>
      <c r="AJ55" s="59">
        <f t="shared" si="47"/>
        <v>0</v>
      </c>
      <c r="AK55" s="59">
        <f t="shared" si="48"/>
        <v>0</v>
      </c>
      <c r="AL55" s="59">
        <f t="shared" si="49"/>
        <v>0</v>
      </c>
      <c r="AM55" s="59">
        <f t="shared" si="50"/>
        <v>27617.475091649663</v>
      </c>
      <c r="AN55" s="59">
        <f t="shared" si="51"/>
        <v>36089.09321792254</v>
      </c>
      <c r="AO55" s="59">
        <f t="shared" si="52"/>
        <v>37868.133024439834</v>
      </c>
      <c r="AP55" s="59">
        <f t="shared" si="53"/>
        <v>30158.960529531556</v>
      </c>
      <c r="AQ55" s="59">
        <f t="shared" si="54"/>
        <v>4659.389969450085</v>
      </c>
      <c r="AR55" s="256">
        <f t="shared" si="55"/>
        <v>0</v>
      </c>
      <c r="AS55" s="245">
        <f t="shared" si="56"/>
        <v>0</v>
      </c>
      <c r="AT55" s="254">
        <f t="shared" si="57"/>
        <v>222747.35775051138</v>
      </c>
      <c r="AU55" s="236">
        <f t="shared" si="58"/>
        <v>0</v>
      </c>
      <c r="AV55" s="59">
        <f t="shared" si="59"/>
        <v>555315.5078260788</v>
      </c>
      <c r="AW55" s="59">
        <f t="shared" si="60"/>
        <v>0</v>
      </c>
      <c r="AX55" s="59">
        <f t="shared" si="61"/>
        <v>93240.00000000057</v>
      </c>
      <c r="AY55" s="256">
        <v>140000</v>
      </c>
      <c r="AZ55" s="258">
        <v>34250</v>
      </c>
      <c r="BA55" s="258">
        <v>29.39</v>
      </c>
      <c r="BB55" s="236"/>
      <c r="BC55" s="59"/>
      <c r="BD55" s="60">
        <v>0</v>
      </c>
      <c r="BE55" s="58">
        <f t="shared" si="62"/>
        <v>4274439.689862109</v>
      </c>
      <c r="BF55" s="59">
        <f t="shared" si="63"/>
        <v>1587798.5103411805</v>
      </c>
      <c r="BG55" s="59">
        <f t="shared" si="64"/>
        <v>174279.39</v>
      </c>
      <c r="BH55" s="60">
        <f t="shared" si="65"/>
        <v>555315.5078260788</v>
      </c>
      <c r="BI55" s="34">
        <f t="shared" si="66"/>
        <v>6036517.590203289</v>
      </c>
      <c r="BJ55" s="59">
        <f t="shared" si="67"/>
        <v>0</v>
      </c>
      <c r="BK55" s="60">
        <f t="shared" si="68"/>
        <v>6036517.590203289</v>
      </c>
      <c r="BL55" s="58">
        <f t="shared" si="69"/>
        <v>5862238.200203289</v>
      </c>
      <c r="BM55" s="59">
        <v>5963.629655845329</v>
      </c>
      <c r="BN55" s="59">
        <v>6022.47545489549</v>
      </c>
      <c r="BO55" s="33">
        <f t="shared" si="70"/>
        <v>-0.009771031777693189</v>
      </c>
      <c r="BP55" s="204">
        <f t="shared" si="71"/>
        <v>0</v>
      </c>
      <c r="BQ55" s="60">
        <f t="shared" si="72"/>
        <v>0</v>
      </c>
      <c r="BR55" s="205">
        <f t="shared" si="73"/>
        <v>6036517.590203289</v>
      </c>
      <c r="BS55" s="91">
        <f t="shared" si="74"/>
        <v>0</v>
      </c>
      <c r="BT55" s="91">
        <f t="shared" si="75"/>
        <v>1199.26</v>
      </c>
      <c r="BU55" s="97">
        <f t="shared" si="76"/>
        <v>6035318.330203289</v>
      </c>
      <c r="BV55" s="10"/>
      <c r="BW55" s="116"/>
      <c r="BX55" s="385"/>
      <c r="BY55" s="23"/>
      <c r="BZ55" s="23"/>
      <c r="CA55" s="225">
        <f>VLOOKUP(A55,'Top Up SEN'!A:E,5,0)</f>
        <v>65259</v>
      </c>
      <c r="CB55" s="225">
        <f>VLOOKUP(A55,'2% threshold'!A:H,8,0)</f>
        <v>0</v>
      </c>
      <c r="CC55" s="212"/>
      <c r="CD55" s="433">
        <f>VLOOKUP(A55,'[4]Pupil Premuim'!$B:$G,6,0)</f>
        <v>390830</v>
      </c>
      <c r="CE55" s="433">
        <v>0</v>
      </c>
      <c r="CF55" s="433">
        <v>0</v>
      </c>
      <c r="CG55" s="433"/>
      <c r="CH55" s="433"/>
      <c r="CI55" s="433"/>
      <c r="CJ55" s="433">
        <f>302780+7864</f>
        <v>310644</v>
      </c>
      <c r="CK55" s="433"/>
    </row>
    <row r="56" spans="1:89" ht="15">
      <c r="A56" s="37">
        <v>2001</v>
      </c>
      <c r="B56" s="115" t="s">
        <v>152</v>
      </c>
      <c r="C56" s="251">
        <v>550</v>
      </c>
      <c r="D56" s="254">
        <v>550</v>
      </c>
      <c r="E56" s="254">
        <v>0</v>
      </c>
      <c r="F56" s="254">
        <v>0</v>
      </c>
      <c r="G56" s="238">
        <v>0</v>
      </c>
      <c r="H56" s="254">
        <v>179.20277296360487</v>
      </c>
      <c r="I56" s="238">
        <v>0</v>
      </c>
      <c r="J56" s="254">
        <v>149.00000000000006</v>
      </c>
      <c r="K56" s="238">
        <v>63.9999999999998</v>
      </c>
      <c r="L56" s="254">
        <v>88</v>
      </c>
      <c r="M56" s="238">
        <v>167.99999999999974</v>
      </c>
      <c r="N56" s="254">
        <v>27.999999999999993</v>
      </c>
      <c r="O56" s="238">
        <v>0</v>
      </c>
      <c r="P56" s="254">
        <v>0</v>
      </c>
      <c r="Q56" s="238">
        <v>0</v>
      </c>
      <c r="R56" s="254">
        <v>0</v>
      </c>
      <c r="S56" s="254">
        <v>0</v>
      </c>
      <c r="T56" s="238">
        <v>0</v>
      </c>
      <c r="U56" s="254">
        <v>0</v>
      </c>
      <c r="V56" s="238">
        <v>176.7441860465116</v>
      </c>
      <c r="W56" s="254">
        <v>0</v>
      </c>
      <c r="X56" s="248">
        <v>91.98977236372595</v>
      </c>
      <c r="Y56" s="248">
        <v>0</v>
      </c>
      <c r="Z56" s="248">
        <v>10.999999999999995</v>
      </c>
      <c r="AA56" s="241">
        <v>0</v>
      </c>
      <c r="AB56" s="58">
        <f t="shared" si="39"/>
        <v>1749832.6978722718</v>
      </c>
      <c r="AC56" s="59">
        <f t="shared" si="40"/>
        <v>0</v>
      </c>
      <c r="AD56" s="59">
        <f t="shared" si="41"/>
        <v>0</v>
      </c>
      <c r="AE56" s="59">
        <f t="shared" si="42"/>
        <v>178815.6949740035</v>
      </c>
      <c r="AF56" s="59">
        <f t="shared" si="43"/>
        <v>0</v>
      </c>
      <c r="AG56" s="59">
        <f t="shared" si="44"/>
        <v>9699.900000000003</v>
      </c>
      <c r="AH56" s="59">
        <f t="shared" si="45"/>
        <v>8332.799999999974</v>
      </c>
      <c r="AI56" s="59">
        <f t="shared" si="46"/>
        <v>17186.4</v>
      </c>
      <c r="AJ56" s="59">
        <f t="shared" si="47"/>
        <v>43747.19999999993</v>
      </c>
      <c r="AK56" s="59">
        <f t="shared" si="48"/>
        <v>9113.999999999998</v>
      </c>
      <c r="AL56" s="59">
        <f t="shared" si="49"/>
        <v>0</v>
      </c>
      <c r="AM56" s="59">
        <f t="shared" si="50"/>
        <v>0</v>
      </c>
      <c r="AN56" s="59">
        <f t="shared" si="51"/>
        <v>0</v>
      </c>
      <c r="AO56" s="59">
        <f t="shared" si="52"/>
        <v>0</v>
      </c>
      <c r="AP56" s="59">
        <f t="shared" si="53"/>
        <v>0</v>
      </c>
      <c r="AQ56" s="59">
        <f t="shared" si="54"/>
        <v>0</v>
      </c>
      <c r="AR56" s="256">
        <f t="shared" si="55"/>
        <v>0</v>
      </c>
      <c r="AS56" s="245">
        <f t="shared" si="56"/>
        <v>130628.0930232558</v>
      </c>
      <c r="AT56" s="254">
        <f t="shared" si="57"/>
        <v>0</v>
      </c>
      <c r="AU56" s="236">
        <f t="shared" si="58"/>
        <v>101188.74960009854</v>
      </c>
      <c r="AV56" s="59">
        <f t="shared" si="59"/>
        <v>0</v>
      </c>
      <c r="AW56" s="59">
        <f t="shared" si="60"/>
        <v>8799.999999999996</v>
      </c>
      <c r="AX56" s="59">
        <f t="shared" si="61"/>
        <v>0</v>
      </c>
      <c r="AY56" s="256">
        <v>140000</v>
      </c>
      <c r="AZ56" s="258">
        <v>11000</v>
      </c>
      <c r="BA56" s="258">
        <v>36.91</v>
      </c>
      <c r="BB56" s="236"/>
      <c r="BC56" s="59"/>
      <c r="BD56" s="60">
        <v>0</v>
      </c>
      <c r="BE56" s="58">
        <f t="shared" si="62"/>
        <v>1749832.6978722718</v>
      </c>
      <c r="BF56" s="59">
        <f t="shared" si="63"/>
        <v>507512.83759735775</v>
      </c>
      <c r="BG56" s="59">
        <f t="shared" si="64"/>
        <v>151036.91</v>
      </c>
      <c r="BH56" s="60">
        <f t="shared" si="65"/>
        <v>101188.74960009854</v>
      </c>
      <c r="BI56" s="34">
        <f t="shared" si="66"/>
        <v>2408382.4454696295</v>
      </c>
      <c r="BJ56" s="59">
        <f t="shared" si="67"/>
        <v>2408382.4454696295</v>
      </c>
      <c r="BK56" s="60">
        <f t="shared" si="68"/>
        <v>0</v>
      </c>
      <c r="BL56" s="58">
        <f t="shared" si="69"/>
        <v>2257345.5354696293</v>
      </c>
      <c r="BM56" s="59">
        <v>4104.264369666599</v>
      </c>
      <c r="BN56" s="59">
        <v>4155.314124742267</v>
      </c>
      <c r="BO56" s="33">
        <f t="shared" si="70"/>
        <v>-0.012285414181252662</v>
      </c>
      <c r="BP56" s="204">
        <f t="shared" si="71"/>
        <v>0</v>
      </c>
      <c r="BQ56" s="60">
        <f t="shared" si="72"/>
        <v>0</v>
      </c>
      <c r="BR56" s="205">
        <f t="shared" si="73"/>
        <v>2408382.4454696295</v>
      </c>
      <c r="BS56" s="91">
        <v>0</v>
      </c>
      <c r="BT56" s="91"/>
      <c r="BU56" s="97">
        <f t="shared" si="76"/>
        <v>2408382.4454696295</v>
      </c>
      <c r="BV56" s="10"/>
      <c r="BW56" s="116">
        <f>VLOOKUP(A56,'EYSFF Universal Hrs'!$A$159:$W$216,23,0)</f>
        <v>242463.94645473146</v>
      </c>
      <c r="BX56" s="385">
        <f>VLOOKUP(A56,'EYSFF Extended Hrs'!$A$115:$W$172,11,0)</f>
        <v>17349.835166707082</v>
      </c>
      <c r="BY56" s="23"/>
      <c r="BZ56" s="23"/>
      <c r="CA56" s="225">
        <f>VLOOKUP(A56,'Top Up SEN'!A:E,5,0)</f>
        <v>54326</v>
      </c>
      <c r="CB56" s="225">
        <f>VLOOKUP(A56,'2% threshold'!A:H,8,0)</f>
        <v>0</v>
      </c>
      <c r="CC56" s="212"/>
      <c r="CD56" s="433"/>
      <c r="CE56" s="433"/>
      <c r="CF56" s="433"/>
      <c r="CG56" s="433"/>
      <c r="CH56" s="433"/>
      <c r="CI56" s="433"/>
      <c r="CJ56" s="433"/>
      <c r="CK56" s="433"/>
    </row>
    <row r="57" spans="1:89" ht="15">
      <c r="A57" s="37">
        <v>2002</v>
      </c>
      <c r="B57" s="115" t="s">
        <v>145</v>
      </c>
      <c r="C57" s="251">
        <v>418</v>
      </c>
      <c r="D57" s="254">
        <v>418</v>
      </c>
      <c r="E57" s="254">
        <v>0</v>
      </c>
      <c r="F57" s="254">
        <v>0</v>
      </c>
      <c r="G57" s="238">
        <v>0</v>
      </c>
      <c r="H57" s="254">
        <v>141.60419091967415</v>
      </c>
      <c r="I57" s="238">
        <v>0</v>
      </c>
      <c r="J57" s="254">
        <v>39.000000000000014</v>
      </c>
      <c r="K57" s="238">
        <v>62.99999999999988</v>
      </c>
      <c r="L57" s="254">
        <v>91.99999999999987</v>
      </c>
      <c r="M57" s="238">
        <v>141.99999999999997</v>
      </c>
      <c r="N57" s="254">
        <v>25.999999999999982</v>
      </c>
      <c r="O57" s="238">
        <v>0</v>
      </c>
      <c r="P57" s="254">
        <v>0</v>
      </c>
      <c r="Q57" s="238">
        <v>0</v>
      </c>
      <c r="R57" s="254">
        <v>0</v>
      </c>
      <c r="S57" s="254">
        <v>0</v>
      </c>
      <c r="T57" s="238">
        <v>0</v>
      </c>
      <c r="U57" s="254">
        <v>0</v>
      </c>
      <c r="V57" s="238">
        <v>194.75000000000003</v>
      </c>
      <c r="W57" s="254">
        <v>0</v>
      </c>
      <c r="X57" s="248">
        <v>86.53014016713097</v>
      </c>
      <c r="Y57" s="248">
        <v>0</v>
      </c>
      <c r="Z57" s="248">
        <v>12.199999999999827</v>
      </c>
      <c r="AA57" s="241">
        <v>0</v>
      </c>
      <c r="AB57" s="58">
        <f t="shared" si="39"/>
        <v>1329872.8503829264</v>
      </c>
      <c r="AC57" s="59">
        <f t="shared" si="40"/>
        <v>0</v>
      </c>
      <c r="AD57" s="59">
        <f t="shared" si="41"/>
        <v>0</v>
      </c>
      <c r="AE57" s="59">
        <f t="shared" si="42"/>
        <v>141298.32586728767</v>
      </c>
      <c r="AF57" s="59">
        <f t="shared" si="43"/>
        <v>0</v>
      </c>
      <c r="AG57" s="59">
        <f t="shared" si="44"/>
        <v>2538.9000000000005</v>
      </c>
      <c r="AH57" s="59">
        <f t="shared" si="45"/>
        <v>8202.599999999984</v>
      </c>
      <c r="AI57" s="59">
        <f t="shared" si="46"/>
        <v>17967.599999999977</v>
      </c>
      <c r="AJ57" s="59">
        <f t="shared" si="47"/>
        <v>36976.79999999999</v>
      </c>
      <c r="AK57" s="59">
        <f t="shared" si="48"/>
        <v>8462.999999999995</v>
      </c>
      <c r="AL57" s="59">
        <f t="shared" si="49"/>
        <v>0</v>
      </c>
      <c r="AM57" s="59">
        <f t="shared" si="50"/>
        <v>0</v>
      </c>
      <c r="AN57" s="59">
        <f t="shared" si="51"/>
        <v>0</v>
      </c>
      <c r="AO57" s="59">
        <f t="shared" si="52"/>
        <v>0</v>
      </c>
      <c r="AP57" s="59">
        <f t="shared" si="53"/>
        <v>0</v>
      </c>
      <c r="AQ57" s="59">
        <f t="shared" si="54"/>
        <v>0</v>
      </c>
      <c r="AR57" s="256">
        <f t="shared" si="55"/>
        <v>0</v>
      </c>
      <c r="AS57" s="245">
        <f t="shared" si="56"/>
        <v>143935.83000000002</v>
      </c>
      <c r="AT57" s="254">
        <f t="shared" si="57"/>
        <v>0</v>
      </c>
      <c r="AU57" s="236">
        <f t="shared" si="58"/>
        <v>95183.15418384406</v>
      </c>
      <c r="AV57" s="59">
        <f t="shared" si="59"/>
        <v>0</v>
      </c>
      <c r="AW57" s="59">
        <f t="shared" si="60"/>
        <v>9759.999999999862</v>
      </c>
      <c r="AX57" s="59">
        <f t="shared" si="61"/>
        <v>0</v>
      </c>
      <c r="AY57" s="256">
        <v>140000</v>
      </c>
      <c r="AZ57" s="258">
        <v>67000</v>
      </c>
      <c r="BA57" s="258">
        <v>-32724.22</v>
      </c>
      <c r="BB57" s="236"/>
      <c r="BC57" s="59"/>
      <c r="BD57" s="60">
        <v>0</v>
      </c>
      <c r="BE57" s="58">
        <f t="shared" si="62"/>
        <v>1329872.8503829264</v>
      </c>
      <c r="BF57" s="59">
        <f t="shared" si="63"/>
        <v>464326.21005113155</v>
      </c>
      <c r="BG57" s="59">
        <f t="shared" si="64"/>
        <v>174275.78</v>
      </c>
      <c r="BH57" s="60">
        <f t="shared" si="65"/>
        <v>95183.15418384406</v>
      </c>
      <c r="BI57" s="34">
        <f t="shared" si="66"/>
        <v>1968474.8404340579</v>
      </c>
      <c r="BJ57" s="59">
        <f t="shared" si="67"/>
        <v>1968474.8404340579</v>
      </c>
      <c r="BK57" s="60">
        <f t="shared" si="68"/>
        <v>0</v>
      </c>
      <c r="BL57" s="58">
        <f t="shared" si="69"/>
        <v>1794199.0604340578</v>
      </c>
      <c r="BM57" s="59">
        <v>4292.341978073105</v>
      </c>
      <c r="BN57" s="59">
        <v>4192.18505376344</v>
      </c>
      <c r="BO57" s="33">
        <f t="shared" si="70"/>
        <v>0.0238913413948058</v>
      </c>
      <c r="BP57" s="204">
        <f t="shared" si="71"/>
        <v>0</v>
      </c>
      <c r="BQ57" s="60">
        <f t="shared" si="72"/>
        <v>0</v>
      </c>
      <c r="BR57" s="205">
        <f t="shared" si="73"/>
        <v>1968474.8404340579</v>
      </c>
      <c r="BS57" s="91">
        <v>0</v>
      </c>
      <c r="BT57" s="91"/>
      <c r="BU57" s="97">
        <f t="shared" si="76"/>
        <v>1968474.8404340579</v>
      </c>
      <c r="BV57" s="10"/>
      <c r="BW57" s="116">
        <f>VLOOKUP(A57,'EYSFF Universal Hrs'!$A$159:$W$216,23,0)</f>
        <v>182890.862639224</v>
      </c>
      <c r="BX57" s="385">
        <f>VLOOKUP(A57,'EYSFF Extended Hrs'!$A$115:$W$172,11,0)</f>
        <v>0</v>
      </c>
      <c r="BY57" s="23"/>
      <c r="BZ57" s="23">
        <v>43865</v>
      </c>
      <c r="CA57" s="225">
        <f>VLOOKUP(A57,'Top Up SEN'!A:E,5,0)</f>
        <v>27184</v>
      </c>
      <c r="CB57" s="225">
        <f>VLOOKUP(A57,'2% threshold'!A:H,8,0)</f>
        <v>0</v>
      </c>
      <c r="CC57" s="212"/>
      <c r="CD57" s="433"/>
      <c r="CE57" s="433"/>
      <c r="CF57" s="433"/>
      <c r="CG57" s="433"/>
      <c r="CH57" s="433"/>
      <c r="CI57" s="433"/>
      <c r="CJ57" s="433"/>
      <c r="CK57" s="433"/>
    </row>
    <row r="58" spans="1:89" ht="15">
      <c r="A58" s="37">
        <v>2011</v>
      </c>
      <c r="B58" s="10" t="s">
        <v>9</v>
      </c>
      <c r="C58" s="251">
        <v>306</v>
      </c>
      <c r="D58" s="254">
        <v>306</v>
      </c>
      <c r="E58" s="254">
        <v>0</v>
      </c>
      <c r="F58" s="254">
        <v>0</v>
      </c>
      <c r="G58" s="238">
        <v>0</v>
      </c>
      <c r="H58" s="254">
        <v>79.77857142857144</v>
      </c>
      <c r="I58" s="238">
        <v>0</v>
      </c>
      <c r="J58" s="254">
        <v>5.000000000000015</v>
      </c>
      <c r="K58" s="238">
        <v>97.00000000000013</v>
      </c>
      <c r="L58" s="254">
        <v>7.999999999999999</v>
      </c>
      <c r="M58" s="238">
        <v>5.000000000000015</v>
      </c>
      <c r="N58" s="254">
        <v>0</v>
      </c>
      <c r="O58" s="238">
        <v>0</v>
      </c>
      <c r="P58" s="254">
        <v>0</v>
      </c>
      <c r="Q58" s="238">
        <v>0</v>
      </c>
      <c r="R58" s="254">
        <v>0</v>
      </c>
      <c r="S58" s="254">
        <v>0</v>
      </c>
      <c r="T58" s="238">
        <v>0</v>
      </c>
      <c r="U58" s="254">
        <v>0</v>
      </c>
      <c r="V58" s="238">
        <v>19.000000000000014</v>
      </c>
      <c r="W58" s="254">
        <v>0</v>
      </c>
      <c r="X58" s="248">
        <v>63.81824594594597</v>
      </c>
      <c r="Y58" s="248">
        <v>0</v>
      </c>
      <c r="Z58" s="248">
        <v>0</v>
      </c>
      <c r="AA58" s="241">
        <v>0</v>
      </c>
      <c r="AB58" s="58">
        <f t="shared" si="39"/>
        <v>973543.2828162094</v>
      </c>
      <c r="AC58" s="59">
        <f t="shared" si="40"/>
        <v>0</v>
      </c>
      <c r="AD58" s="59">
        <f t="shared" si="41"/>
        <v>0</v>
      </c>
      <c r="AE58" s="59">
        <f t="shared" si="42"/>
        <v>79606.24971428573</v>
      </c>
      <c r="AF58" s="59">
        <f t="shared" si="43"/>
        <v>0</v>
      </c>
      <c r="AG58" s="59">
        <f t="shared" si="44"/>
        <v>325.50000000000097</v>
      </c>
      <c r="AH58" s="59">
        <f t="shared" si="45"/>
        <v>12629.400000000016</v>
      </c>
      <c r="AI58" s="59">
        <f t="shared" si="46"/>
        <v>1562.3999999999999</v>
      </c>
      <c r="AJ58" s="59">
        <f t="shared" si="47"/>
        <v>1302.0000000000039</v>
      </c>
      <c r="AK58" s="59">
        <f t="shared" si="48"/>
        <v>0</v>
      </c>
      <c r="AL58" s="59">
        <f t="shared" si="49"/>
        <v>0</v>
      </c>
      <c r="AM58" s="59">
        <f t="shared" si="50"/>
        <v>0</v>
      </c>
      <c r="AN58" s="59">
        <f t="shared" si="51"/>
        <v>0</v>
      </c>
      <c r="AO58" s="59">
        <f t="shared" si="52"/>
        <v>0</v>
      </c>
      <c r="AP58" s="59">
        <f t="shared" si="53"/>
        <v>0</v>
      </c>
      <c r="AQ58" s="59">
        <f t="shared" si="54"/>
        <v>0</v>
      </c>
      <c r="AR58" s="256">
        <f t="shared" si="55"/>
        <v>0</v>
      </c>
      <c r="AS58" s="245">
        <f t="shared" si="56"/>
        <v>14042.520000000011</v>
      </c>
      <c r="AT58" s="254">
        <f t="shared" si="57"/>
        <v>0</v>
      </c>
      <c r="AU58" s="236">
        <f t="shared" si="58"/>
        <v>70200.07054054056</v>
      </c>
      <c r="AV58" s="59">
        <f t="shared" si="59"/>
        <v>0</v>
      </c>
      <c r="AW58" s="59">
        <f t="shared" si="60"/>
        <v>0</v>
      </c>
      <c r="AX58" s="59">
        <f t="shared" si="61"/>
        <v>0</v>
      </c>
      <c r="AY58" s="256">
        <v>140000</v>
      </c>
      <c r="AZ58" s="258">
        <v>6000</v>
      </c>
      <c r="BA58" s="258">
        <v>226.27</v>
      </c>
      <c r="BB58" s="236"/>
      <c r="BC58" s="59"/>
      <c r="BD58" s="60">
        <v>0</v>
      </c>
      <c r="BE58" s="58">
        <f t="shared" si="62"/>
        <v>973543.2828162094</v>
      </c>
      <c r="BF58" s="59">
        <f t="shared" si="63"/>
        <v>179668.1402548263</v>
      </c>
      <c r="BG58" s="59">
        <f t="shared" si="64"/>
        <v>146226.27</v>
      </c>
      <c r="BH58" s="60">
        <f t="shared" si="65"/>
        <v>70200.07054054056</v>
      </c>
      <c r="BI58" s="34">
        <f t="shared" si="66"/>
        <v>1299437.6930710357</v>
      </c>
      <c r="BJ58" s="59">
        <f t="shared" si="67"/>
        <v>1299437.6930710357</v>
      </c>
      <c r="BK58" s="60">
        <f t="shared" si="68"/>
        <v>0</v>
      </c>
      <c r="BL58" s="58">
        <f t="shared" si="69"/>
        <v>1153211.4230710356</v>
      </c>
      <c r="BM58" s="59">
        <v>3768.6647706406397</v>
      </c>
      <c r="BN58" s="59">
        <v>3735.6553551851857</v>
      </c>
      <c r="BO58" s="33">
        <f t="shared" si="70"/>
        <v>0.008836311789211524</v>
      </c>
      <c r="BP58" s="204">
        <f t="shared" si="71"/>
        <v>0</v>
      </c>
      <c r="BQ58" s="60">
        <f t="shared" si="72"/>
        <v>0</v>
      </c>
      <c r="BR58" s="205">
        <f t="shared" si="73"/>
        <v>1299437.6930710357</v>
      </c>
      <c r="BS58" s="91">
        <v>0</v>
      </c>
      <c r="BT58" s="91"/>
      <c r="BU58" s="97">
        <f t="shared" si="76"/>
        <v>1299437.6930710357</v>
      </c>
      <c r="BV58" s="10"/>
      <c r="BW58" s="116"/>
      <c r="BX58" s="385"/>
      <c r="BY58" s="23"/>
      <c r="BZ58" s="23"/>
      <c r="CA58" s="225">
        <f>VLOOKUP(A58,'Top Up SEN'!A:E,5,0)</f>
        <v>23542</v>
      </c>
      <c r="CB58" s="225">
        <f>VLOOKUP(A58,'2% threshold'!A:H,8,0)</f>
        <v>0</v>
      </c>
      <c r="CC58" s="212"/>
      <c r="CD58" s="433"/>
      <c r="CE58" s="433"/>
      <c r="CF58" s="433"/>
      <c r="CG58" s="433"/>
      <c r="CH58" s="433"/>
      <c r="CI58" s="433"/>
      <c r="CJ58" s="433"/>
      <c r="CK58" s="433"/>
    </row>
    <row r="59" spans="1:89" ht="15">
      <c r="A59" s="37">
        <v>2017</v>
      </c>
      <c r="B59" s="10" t="s">
        <v>16</v>
      </c>
      <c r="C59" s="251">
        <v>371</v>
      </c>
      <c r="D59" s="254">
        <v>371</v>
      </c>
      <c r="E59" s="254">
        <v>0</v>
      </c>
      <c r="F59" s="254">
        <v>0</v>
      </c>
      <c r="G59" s="238">
        <v>0</v>
      </c>
      <c r="H59" s="254">
        <v>180.23011363636363</v>
      </c>
      <c r="I59" s="238">
        <v>0</v>
      </c>
      <c r="J59" s="254">
        <v>26.999999999999986</v>
      </c>
      <c r="K59" s="238">
        <v>32</v>
      </c>
      <c r="L59" s="254">
        <v>33.99999999999999</v>
      </c>
      <c r="M59" s="238">
        <v>164.00000000000014</v>
      </c>
      <c r="N59" s="254">
        <v>60.0000000000001</v>
      </c>
      <c r="O59" s="238">
        <v>0</v>
      </c>
      <c r="P59" s="254">
        <v>0</v>
      </c>
      <c r="Q59" s="238">
        <v>0</v>
      </c>
      <c r="R59" s="254">
        <v>0</v>
      </c>
      <c r="S59" s="254">
        <v>0</v>
      </c>
      <c r="T59" s="238">
        <v>0</v>
      </c>
      <c r="U59" s="254">
        <v>0</v>
      </c>
      <c r="V59" s="238">
        <v>115.86435331230275</v>
      </c>
      <c r="W59" s="254">
        <v>0</v>
      </c>
      <c r="X59" s="248">
        <v>66.50032433094191</v>
      </c>
      <c r="Y59" s="248">
        <v>0</v>
      </c>
      <c r="Z59" s="248">
        <v>46.900000000000134</v>
      </c>
      <c r="AA59" s="241">
        <v>0</v>
      </c>
      <c r="AB59" s="58">
        <f t="shared" si="39"/>
        <v>1180341.6925647506</v>
      </c>
      <c r="AC59" s="59">
        <f t="shared" si="40"/>
        <v>0</v>
      </c>
      <c r="AD59" s="59">
        <f t="shared" si="41"/>
        <v>0</v>
      </c>
      <c r="AE59" s="59">
        <f t="shared" si="42"/>
        <v>179840.8165909091</v>
      </c>
      <c r="AF59" s="59">
        <f t="shared" si="43"/>
        <v>0</v>
      </c>
      <c r="AG59" s="59">
        <f t="shared" si="44"/>
        <v>1757.699999999999</v>
      </c>
      <c r="AH59" s="59">
        <f t="shared" si="45"/>
        <v>4166.4</v>
      </c>
      <c r="AI59" s="59">
        <f t="shared" si="46"/>
        <v>6640.199999999999</v>
      </c>
      <c r="AJ59" s="59">
        <f t="shared" si="47"/>
        <v>42705.600000000035</v>
      </c>
      <c r="AK59" s="59">
        <f t="shared" si="48"/>
        <v>19530.000000000033</v>
      </c>
      <c r="AL59" s="59">
        <f t="shared" si="49"/>
        <v>0</v>
      </c>
      <c r="AM59" s="59">
        <f t="shared" si="50"/>
        <v>0</v>
      </c>
      <c r="AN59" s="59">
        <f t="shared" si="51"/>
        <v>0</v>
      </c>
      <c r="AO59" s="59">
        <f t="shared" si="52"/>
        <v>0</v>
      </c>
      <c r="AP59" s="59">
        <f t="shared" si="53"/>
        <v>0</v>
      </c>
      <c r="AQ59" s="59">
        <f t="shared" si="54"/>
        <v>0</v>
      </c>
      <c r="AR59" s="256">
        <f t="shared" si="55"/>
        <v>0</v>
      </c>
      <c r="AS59" s="245">
        <f t="shared" si="56"/>
        <v>85633.02624605672</v>
      </c>
      <c r="AT59" s="254">
        <f t="shared" si="57"/>
        <v>0</v>
      </c>
      <c r="AU59" s="236">
        <f t="shared" si="58"/>
        <v>73150.3567640361</v>
      </c>
      <c r="AV59" s="59">
        <f t="shared" si="59"/>
        <v>0</v>
      </c>
      <c r="AW59" s="59">
        <f t="shared" si="60"/>
        <v>37520.00000000011</v>
      </c>
      <c r="AX59" s="59">
        <f t="shared" si="61"/>
        <v>0</v>
      </c>
      <c r="AY59" s="256">
        <v>140000</v>
      </c>
      <c r="AZ59" s="258">
        <v>8304</v>
      </c>
      <c r="BA59" s="258">
        <v>-6527.5</v>
      </c>
      <c r="BB59" s="236"/>
      <c r="BC59" s="59"/>
      <c r="BD59" s="60">
        <v>0</v>
      </c>
      <c r="BE59" s="58">
        <f t="shared" si="62"/>
        <v>1180341.6925647506</v>
      </c>
      <c r="BF59" s="59">
        <f t="shared" si="63"/>
        <v>450944.0996010021</v>
      </c>
      <c r="BG59" s="59">
        <f t="shared" si="64"/>
        <v>141776.5</v>
      </c>
      <c r="BH59" s="60">
        <f t="shared" si="65"/>
        <v>73150.3567640361</v>
      </c>
      <c r="BI59" s="34">
        <f t="shared" si="66"/>
        <v>1773062.2921657527</v>
      </c>
      <c r="BJ59" s="59">
        <f t="shared" si="67"/>
        <v>1773062.2921657527</v>
      </c>
      <c r="BK59" s="60">
        <f t="shared" si="68"/>
        <v>0</v>
      </c>
      <c r="BL59" s="58">
        <f t="shared" si="69"/>
        <v>1631285.7921657527</v>
      </c>
      <c r="BM59" s="59">
        <v>4396.996325004724</v>
      </c>
      <c r="BN59" s="59">
        <v>4659.476556304986</v>
      </c>
      <c r="BO59" s="33">
        <f t="shared" si="70"/>
        <v>-0.05633255755844205</v>
      </c>
      <c r="BP59" s="204">
        <f t="shared" si="71"/>
        <v>0.04133255755844205</v>
      </c>
      <c r="BQ59" s="60">
        <f t="shared" si="72"/>
        <v>71450.17877655994</v>
      </c>
      <c r="BR59" s="205">
        <f t="shared" si="73"/>
        <v>1844512.4709423126</v>
      </c>
      <c r="BS59" s="91">
        <v>0</v>
      </c>
      <c r="BT59" s="91"/>
      <c r="BU59" s="97">
        <f t="shared" si="76"/>
        <v>1844512.4709423126</v>
      </c>
      <c r="BV59" s="10"/>
      <c r="BW59" s="116">
        <f>VLOOKUP(A59,'EYSFF Universal Hrs'!$A$159:$W$216,23,0)</f>
        <v>122814.56236400991</v>
      </c>
      <c r="BX59" s="385">
        <f>VLOOKUP(A59,'EYSFF Extended Hrs'!$A$115:$W$172,11,0)</f>
        <v>14459.019398883434</v>
      </c>
      <c r="BY59" s="23"/>
      <c r="BZ59" s="23"/>
      <c r="CA59" s="225">
        <f>VLOOKUP(A59,'Top Up SEN'!A:E,5,0)</f>
        <v>31042</v>
      </c>
      <c r="CB59" s="225">
        <f>VLOOKUP(A59,'2% threshold'!A:H,8,0)</f>
        <v>0</v>
      </c>
      <c r="CC59" s="212"/>
      <c r="CD59" s="433"/>
      <c r="CE59" s="433"/>
      <c r="CF59" s="433"/>
      <c r="CG59" s="433"/>
      <c r="CH59" s="433"/>
      <c r="CI59" s="433"/>
      <c r="CJ59" s="433"/>
      <c r="CK59" s="433"/>
    </row>
    <row r="60" spans="1:89" ht="15">
      <c r="A60" s="37">
        <v>2021</v>
      </c>
      <c r="B60" s="95" t="s">
        <v>146</v>
      </c>
      <c r="C60" s="251">
        <v>396</v>
      </c>
      <c r="D60" s="254">
        <v>396</v>
      </c>
      <c r="E60" s="254">
        <v>0</v>
      </c>
      <c r="F60" s="254">
        <v>0</v>
      </c>
      <c r="G60" s="238">
        <v>0</v>
      </c>
      <c r="H60" s="254">
        <v>97.14142678347935</v>
      </c>
      <c r="I60" s="238">
        <v>0</v>
      </c>
      <c r="J60" s="254">
        <v>86.43654822335029</v>
      </c>
      <c r="K60" s="238">
        <v>128.6497461928932</v>
      </c>
      <c r="L60" s="254">
        <v>73.37055837563456</v>
      </c>
      <c r="M60" s="238">
        <v>13.065989847715729</v>
      </c>
      <c r="N60" s="254">
        <v>6.030456852791884</v>
      </c>
      <c r="O60" s="238">
        <v>0</v>
      </c>
      <c r="P60" s="254">
        <v>0</v>
      </c>
      <c r="Q60" s="238">
        <v>0</v>
      </c>
      <c r="R60" s="254">
        <v>0</v>
      </c>
      <c r="S60" s="254">
        <v>0</v>
      </c>
      <c r="T60" s="238">
        <v>0</v>
      </c>
      <c r="U60" s="254">
        <v>0</v>
      </c>
      <c r="V60" s="238">
        <v>160.76417910447748</v>
      </c>
      <c r="W60" s="254">
        <v>0</v>
      </c>
      <c r="X60" s="248">
        <v>71.52725138452755</v>
      </c>
      <c r="Y60" s="248">
        <v>0</v>
      </c>
      <c r="Z60" s="248">
        <v>62.658227848101326</v>
      </c>
      <c r="AA60" s="241">
        <v>0</v>
      </c>
      <c r="AB60" s="58">
        <f t="shared" si="39"/>
        <v>1259879.5424680356</v>
      </c>
      <c r="AC60" s="59">
        <f t="shared" si="40"/>
        <v>0</v>
      </c>
      <c r="AD60" s="59">
        <f t="shared" si="41"/>
        <v>0</v>
      </c>
      <c r="AE60" s="59">
        <f t="shared" si="42"/>
        <v>96931.60130162703</v>
      </c>
      <c r="AF60" s="59">
        <f t="shared" si="43"/>
        <v>0</v>
      </c>
      <c r="AG60" s="59">
        <f t="shared" si="44"/>
        <v>5627.019289340104</v>
      </c>
      <c r="AH60" s="59">
        <f t="shared" si="45"/>
        <v>16750.19695431469</v>
      </c>
      <c r="AI60" s="59">
        <f t="shared" si="46"/>
        <v>14329.27005076143</v>
      </c>
      <c r="AJ60" s="59">
        <f t="shared" si="47"/>
        <v>3402.3837563451757</v>
      </c>
      <c r="AK60" s="59">
        <f t="shared" si="48"/>
        <v>1962.9137055837584</v>
      </c>
      <c r="AL60" s="59">
        <f t="shared" si="49"/>
        <v>0</v>
      </c>
      <c r="AM60" s="59">
        <f t="shared" si="50"/>
        <v>0</v>
      </c>
      <c r="AN60" s="59">
        <f t="shared" si="51"/>
        <v>0</v>
      </c>
      <c r="AO60" s="59">
        <f t="shared" si="52"/>
        <v>0</v>
      </c>
      <c r="AP60" s="59">
        <f t="shared" si="53"/>
        <v>0</v>
      </c>
      <c r="AQ60" s="59">
        <f t="shared" si="54"/>
        <v>0</v>
      </c>
      <c r="AR60" s="256">
        <f t="shared" si="55"/>
        <v>0</v>
      </c>
      <c r="AS60" s="245">
        <f t="shared" si="56"/>
        <v>118817.58949253723</v>
      </c>
      <c r="AT60" s="254">
        <f t="shared" si="57"/>
        <v>0</v>
      </c>
      <c r="AU60" s="236">
        <f t="shared" si="58"/>
        <v>78679.9765229803</v>
      </c>
      <c r="AV60" s="59">
        <f t="shared" si="59"/>
        <v>0</v>
      </c>
      <c r="AW60" s="59">
        <f t="shared" si="60"/>
        <v>50126.58227848106</v>
      </c>
      <c r="AX60" s="59">
        <f t="shared" si="61"/>
        <v>0</v>
      </c>
      <c r="AY60" s="256">
        <v>140000</v>
      </c>
      <c r="AZ60" s="258">
        <v>0</v>
      </c>
      <c r="BA60" s="258">
        <v>0</v>
      </c>
      <c r="BB60" s="236"/>
      <c r="BC60" s="59"/>
      <c r="BD60" s="60">
        <v>0</v>
      </c>
      <c r="BE60" s="58">
        <f t="shared" si="62"/>
        <v>1259879.5424680356</v>
      </c>
      <c r="BF60" s="59">
        <f t="shared" si="63"/>
        <v>386627.5333519707</v>
      </c>
      <c r="BG60" s="59">
        <f t="shared" si="64"/>
        <v>140000</v>
      </c>
      <c r="BH60" s="60">
        <f t="shared" si="65"/>
        <v>78679.9765229803</v>
      </c>
      <c r="BI60" s="34">
        <f t="shared" si="66"/>
        <v>1786507.0758200064</v>
      </c>
      <c r="BJ60" s="59">
        <f t="shared" si="67"/>
        <v>1786507.0758200064</v>
      </c>
      <c r="BK60" s="60">
        <f t="shared" si="68"/>
        <v>0</v>
      </c>
      <c r="BL60" s="58">
        <f t="shared" si="69"/>
        <v>1646507.0758200064</v>
      </c>
      <c r="BM60" s="59">
        <v>4157.846117188795</v>
      </c>
      <c r="BN60" s="59">
        <v>4182.753455867347</v>
      </c>
      <c r="BO60" s="33">
        <f t="shared" si="70"/>
        <v>-0.005954770928134299</v>
      </c>
      <c r="BP60" s="204">
        <f t="shared" si="71"/>
        <v>0</v>
      </c>
      <c r="BQ60" s="60">
        <f t="shared" si="72"/>
        <v>0</v>
      </c>
      <c r="BR60" s="205">
        <f t="shared" si="73"/>
        <v>1786507.0758200064</v>
      </c>
      <c r="BS60" s="91">
        <v>0</v>
      </c>
      <c r="BT60" s="91"/>
      <c r="BU60" s="97">
        <f t="shared" si="76"/>
        <v>1786507.0758200064</v>
      </c>
      <c r="BV60" s="10"/>
      <c r="BW60" s="116">
        <f>VLOOKUP(A60,'EYSFF Universal Hrs'!$A$159:$W$216,23,0)</f>
        <v>184591.12763970072</v>
      </c>
      <c r="BX60" s="385">
        <f>VLOOKUP(A60,'EYSFF Extended Hrs'!$A$115:$W$172,11,0)</f>
        <v>0</v>
      </c>
      <c r="BY60" s="23"/>
      <c r="BZ60" s="23"/>
      <c r="CA60" s="225">
        <f>VLOOKUP(A60,'Top Up SEN'!A:E,5,0)</f>
        <v>8559</v>
      </c>
      <c r="CB60" s="225">
        <f>VLOOKUP(A60,'2% threshold'!A:H,8,0)</f>
        <v>0</v>
      </c>
      <c r="CC60" s="212"/>
      <c r="CD60" s="433"/>
      <c r="CE60" s="433"/>
      <c r="CF60" s="433"/>
      <c r="CG60" s="433"/>
      <c r="CH60" s="433"/>
      <c r="CI60" s="433"/>
      <c r="CJ60" s="433"/>
      <c r="CK60" s="433"/>
    </row>
    <row r="61" spans="1:89" ht="15">
      <c r="A61" s="37">
        <v>2022</v>
      </c>
      <c r="B61" s="10" t="s">
        <v>138</v>
      </c>
      <c r="C61" s="251">
        <v>194</v>
      </c>
      <c r="D61" s="254">
        <v>194</v>
      </c>
      <c r="E61" s="254">
        <v>0</v>
      </c>
      <c r="F61" s="254">
        <v>0</v>
      </c>
      <c r="G61" s="238">
        <v>0</v>
      </c>
      <c r="H61" s="254">
        <v>17.46</v>
      </c>
      <c r="I61" s="238">
        <v>0</v>
      </c>
      <c r="J61" s="254">
        <v>59.30569948186529</v>
      </c>
      <c r="K61" s="238">
        <v>33.170984455958504</v>
      </c>
      <c r="L61" s="254">
        <v>33.170984455958504</v>
      </c>
      <c r="M61" s="238">
        <v>7.03626943005182</v>
      </c>
      <c r="N61" s="254">
        <v>7.03626943005182</v>
      </c>
      <c r="O61" s="238">
        <v>0</v>
      </c>
      <c r="P61" s="254">
        <v>0</v>
      </c>
      <c r="Q61" s="238">
        <v>0</v>
      </c>
      <c r="R61" s="254">
        <v>0</v>
      </c>
      <c r="S61" s="254">
        <v>0</v>
      </c>
      <c r="T61" s="238">
        <v>0</v>
      </c>
      <c r="U61" s="254">
        <v>0</v>
      </c>
      <c r="V61" s="238">
        <v>83.00000000000006</v>
      </c>
      <c r="W61" s="254">
        <v>0</v>
      </c>
      <c r="X61" s="248">
        <v>19.249521693121697</v>
      </c>
      <c r="Y61" s="248">
        <v>0</v>
      </c>
      <c r="Z61" s="248">
        <v>0</v>
      </c>
      <c r="AA61" s="241">
        <v>0</v>
      </c>
      <c r="AB61" s="58">
        <f t="shared" si="39"/>
        <v>617213.7152494922</v>
      </c>
      <c r="AC61" s="59">
        <f t="shared" si="40"/>
        <v>0</v>
      </c>
      <c r="AD61" s="59">
        <f t="shared" si="41"/>
        <v>0</v>
      </c>
      <c r="AE61" s="59">
        <f t="shared" si="42"/>
        <v>17422.2864</v>
      </c>
      <c r="AF61" s="59">
        <f t="shared" si="43"/>
        <v>0</v>
      </c>
      <c r="AG61" s="59">
        <f t="shared" si="44"/>
        <v>3860.80103626943</v>
      </c>
      <c r="AH61" s="59">
        <f t="shared" si="45"/>
        <v>4318.862176165797</v>
      </c>
      <c r="AI61" s="59">
        <f t="shared" si="46"/>
        <v>6478.293264248696</v>
      </c>
      <c r="AJ61" s="59">
        <f t="shared" si="47"/>
        <v>1832.2445595854938</v>
      </c>
      <c r="AK61" s="59">
        <f t="shared" si="48"/>
        <v>2290.3056994818676</v>
      </c>
      <c r="AL61" s="59">
        <f t="shared" si="49"/>
        <v>0</v>
      </c>
      <c r="AM61" s="59">
        <f t="shared" si="50"/>
        <v>0</v>
      </c>
      <c r="AN61" s="59">
        <f t="shared" si="51"/>
        <v>0</v>
      </c>
      <c r="AO61" s="59">
        <f t="shared" si="52"/>
        <v>0</v>
      </c>
      <c r="AP61" s="59">
        <f t="shared" si="53"/>
        <v>0</v>
      </c>
      <c r="AQ61" s="59">
        <f t="shared" si="54"/>
        <v>0</v>
      </c>
      <c r="AR61" s="256">
        <f t="shared" si="55"/>
        <v>0</v>
      </c>
      <c r="AS61" s="245">
        <f t="shared" si="56"/>
        <v>61343.64000000004</v>
      </c>
      <c r="AT61" s="254">
        <f t="shared" si="57"/>
        <v>0</v>
      </c>
      <c r="AU61" s="236">
        <f t="shared" si="58"/>
        <v>21174.473862433868</v>
      </c>
      <c r="AV61" s="59">
        <f t="shared" si="59"/>
        <v>0</v>
      </c>
      <c r="AW61" s="59">
        <f t="shared" si="60"/>
        <v>0</v>
      </c>
      <c r="AX61" s="59">
        <f t="shared" si="61"/>
        <v>0</v>
      </c>
      <c r="AY61" s="256">
        <v>140000</v>
      </c>
      <c r="AZ61" s="258">
        <v>0</v>
      </c>
      <c r="BA61" s="258">
        <v>0</v>
      </c>
      <c r="BB61" s="236"/>
      <c r="BC61" s="59"/>
      <c r="BD61" s="60">
        <v>0</v>
      </c>
      <c r="BE61" s="58">
        <f t="shared" si="62"/>
        <v>617213.7152494922</v>
      </c>
      <c r="BF61" s="59">
        <f t="shared" si="63"/>
        <v>118720.9069981852</v>
      </c>
      <c r="BG61" s="59">
        <f t="shared" si="64"/>
        <v>140000</v>
      </c>
      <c r="BH61" s="60">
        <f t="shared" si="65"/>
        <v>21174.473862433868</v>
      </c>
      <c r="BI61" s="34">
        <f t="shared" si="66"/>
        <v>875934.6222476774</v>
      </c>
      <c r="BJ61" s="59">
        <f t="shared" si="67"/>
        <v>875934.6222476774</v>
      </c>
      <c r="BK61" s="60">
        <f t="shared" si="68"/>
        <v>0</v>
      </c>
      <c r="BL61" s="58">
        <f t="shared" si="69"/>
        <v>735934.6222476774</v>
      </c>
      <c r="BM61" s="59">
        <v>3793.4773811407304</v>
      </c>
      <c r="BN61" s="59">
        <v>2385.988808080808</v>
      </c>
      <c r="BO61" s="33">
        <f t="shared" si="70"/>
        <v>0.5898973910913053</v>
      </c>
      <c r="BP61" s="204">
        <f t="shared" si="71"/>
        <v>0</v>
      </c>
      <c r="BQ61" s="60">
        <f t="shared" si="72"/>
        <v>0</v>
      </c>
      <c r="BR61" s="205">
        <f t="shared" si="73"/>
        <v>875934.6222476774</v>
      </c>
      <c r="BS61" s="91">
        <v>0</v>
      </c>
      <c r="BT61" s="91"/>
      <c r="BU61" s="97">
        <f t="shared" si="76"/>
        <v>875934.6222476774</v>
      </c>
      <c r="BV61" s="10"/>
      <c r="BW61" s="116"/>
      <c r="BX61" s="385"/>
      <c r="BY61" s="23"/>
      <c r="BZ61" s="23"/>
      <c r="CA61" s="199">
        <v>0</v>
      </c>
      <c r="CB61" s="199">
        <f>VLOOKUP(A61,'2% threshold'!A:H,8,0)</f>
        <v>0</v>
      </c>
      <c r="CC61" s="212"/>
      <c r="CD61" s="433"/>
      <c r="CE61" s="433"/>
      <c r="CF61" s="433"/>
      <c r="CG61" s="433"/>
      <c r="CH61" s="433"/>
      <c r="CI61" s="433"/>
      <c r="CJ61" s="433"/>
      <c r="CK61" s="433"/>
    </row>
    <row r="62" spans="1:89" ht="15">
      <c r="A62" s="37">
        <v>2027</v>
      </c>
      <c r="B62" s="10" t="s">
        <v>136</v>
      </c>
      <c r="C62" s="251">
        <v>363.5</v>
      </c>
      <c r="D62" s="254">
        <v>363.5</v>
      </c>
      <c r="E62" s="254">
        <v>0</v>
      </c>
      <c r="F62" s="254">
        <v>0</v>
      </c>
      <c r="G62" s="238">
        <v>0</v>
      </c>
      <c r="H62" s="254">
        <v>17.532154340836016</v>
      </c>
      <c r="I62" s="238">
        <v>0</v>
      </c>
      <c r="J62" s="254">
        <v>99.34887459807061</v>
      </c>
      <c r="K62" s="238">
        <v>122.72508038585208</v>
      </c>
      <c r="L62" s="254">
        <v>23.376205787781345</v>
      </c>
      <c r="M62" s="238">
        <v>16.363344051446944</v>
      </c>
      <c r="N62" s="254">
        <v>0</v>
      </c>
      <c r="O62" s="238">
        <v>0</v>
      </c>
      <c r="P62" s="254">
        <v>0</v>
      </c>
      <c r="Q62" s="238">
        <v>0</v>
      </c>
      <c r="R62" s="254">
        <v>0</v>
      </c>
      <c r="S62" s="254">
        <v>0</v>
      </c>
      <c r="T62" s="238">
        <v>0</v>
      </c>
      <c r="U62" s="254">
        <v>0</v>
      </c>
      <c r="V62" s="238">
        <v>62.502262443438894</v>
      </c>
      <c r="W62" s="254">
        <v>0</v>
      </c>
      <c r="X62" s="248">
        <v>42.532881395348824</v>
      </c>
      <c r="Y62" s="248">
        <v>0</v>
      </c>
      <c r="Z62" s="248">
        <v>0</v>
      </c>
      <c r="AA62" s="241">
        <v>0</v>
      </c>
      <c r="AB62" s="58">
        <f t="shared" si="39"/>
        <v>1156480.337593765</v>
      </c>
      <c r="AC62" s="59">
        <f t="shared" si="40"/>
        <v>0</v>
      </c>
      <c r="AD62" s="59">
        <f t="shared" si="41"/>
        <v>0</v>
      </c>
      <c r="AE62" s="59">
        <f t="shared" si="42"/>
        <v>17494.28488745981</v>
      </c>
      <c r="AF62" s="59">
        <f t="shared" si="43"/>
        <v>0</v>
      </c>
      <c r="AG62" s="59">
        <f t="shared" si="44"/>
        <v>6467.6117363343965</v>
      </c>
      <c r="AH62" s="59">
        <f t="shared" si="45"/>
        <v>15978.80546623794</v>
      </c>
      <c r="AI62" s="59">
        <f t="shared" si="46"/>
        <v>4565.372990353697</v>
      </c>
      <c r="AJ62" s="59">
        <f t="shared" si="47"/>
        <v>4261.014790996784</v>
      </c>
      <c r="AK62" s="59">
        <f t="shared" si="48"/>
        <v>0</v>
      </c>
      <c r="AL62" s="59">
        <f t="shared" si="49"/>
        <v>0</v>
      </c>
      <c r="AM62" s="59">
        <f t="shared" si="50"/>
        <v>0</v>
      </c>
      <c r="AN62" s="59">
        <f t="shared" si="51"/>
        <v>0</v>
      </c>
      <c r="AO62" s="59">
        <f t="shared" si="52"/>
        <v>0</v>
      </c>
      <c r="AP62" s="59">
        <f t="shared" si="53"/>
        <v>0</v>
      </c>
      <c r="AQ62" s="59">
        <f t="shared" si="54"/>
        <v>0</v>
      </c>
      <c r="AR62" s="256">
        <f t="shared" si="55"/>
        <v>0</v>
      </c>
      <c r="AS62" s="245">
        <f t="shared" si="56"/>
        <v>46194.17212669682</v>
      </c>
      <c r="AT62" s="254">
        <f t="shared" si="57"/>
        <v>0</v>
      </c>
      <c r="AU62" s="236">
        <f t="shared" si="58"/>
        <v>46786.16953488371</v>
      </c>
      <c r="AV62" s="59">
        <f t="shared" si="59"/>
        <v>0</v>
      </c>
      <c r="AW62" s="59">
        <f t="shared" si="60"/>
        <v>0</v>
      </c>
      <c r="AX62" s="59">
        <f t="shared" si="61"/>
        <v>0</v>
      </c>
      <c r="AY62" s="256">
        <v>140000</v>
      </c>
      <c r="AZ62" s="258">
        <v>20300</v>
      </c>
      <c r="BA62" s="258">
        <v>11.7599999999984</v>
      </c>
      <c r="BB62" s="236"/>
      <c r="BC62" s="59"/>
      <c r="BD62" s="60">
        <v>31183.53</v>
      </c>
      <c r="BE62" s="58">
        <f t="shared" si="62"/>
        <v>1156480.337593765</v>
      </c>
      <c r="BF62" s="59">
        <f t="shared" si="63"/>
        <v>141747.43153296318</v>
      </c>
      <c r="BG62" s="59">
        <f t="shared" si="64"/>
        <v>191495.29</v>
      </c>
      <c r="BH62" s="60">
        <f t="shared" si="65"/>
        <v>46786.16953488371</v>
      </c>
      <c r="BI62" s="34">
        <f t="shared" si="66"/>
        <v>1489723.0591267282</v>
      </c>
      <c r="BJ62" s="59">
        <f t="shared" si="67"/>
        <v>1489723.0591267282</v>
      </c>
      <c r="BK62" s="60">
        <f t="shared" si="68"/>
        <v>0</v>
      </c>
      <c r="BL62" s="58">
        <f t="shared" si="69"/>
        <v>1298227.7691267282</v>
      </c>
      <c r="BM62" s="59">
        <v>3571.465635417307</v>
      </c>
      <c r="BN62" s="59">
        <v>3971.972390127971</v>
      </c>
      <c r="BO62" s="33">
        <f t="shared" si="70"/>
        <v>-0.10083321719609435</v>
      </c>
      <c r="BP62" s="204">
        <f t="shared" si="71"/>
        <v>0.08583321719609435</v>
      </c>
      <c r="BQ62" s="60">
        <f t="shared" si="72"/>
        <v>123927.0258801535</v>
      </c>
      <c r="BR62" s="205">
        <f t="shared" si="73"/>
        <v>1613650.0850068817</v>
      </c>
      <c r="BS62" s="91">
        <v>0</v>
      </c>
      <c r="BT62" s="91"/>
      <c r="BU62" s="97">
        <f t="shared" si="76"/>
        <v>1613650.0850068817</v>
      </c>
      <c r="BV62" s="10"/>
      <c r="BW62" s="116">
        <f>VLOOKUP(A62,'EYSFF Universal Hrs'!$A$159:$W$216,23,0)</f>
        <v>161753.62957436423</v>
      </c>
      <c r="BX62" s="385">
        <f>VLOOKUP(A62,'EYSFF Extended Hrs'!$A$115:$W$172,11,0)</f>
        <v>0</v>
      </c>
      <c r="BY62" s="23"/>
      <c r="BZ62" s="23"/>
      <c r="CA62" s="225">
        <f>VLOOKUP(A62,'Top Up SEN'!A:E,5,0)</f>
        <v>28500</v>
      </c>
      <c r="CB62" s="225">
        <f>VLOOKUP(A62,'2% threshold'!A:H,8,0)</f>
        <v>0</v>
      </c>
      <c r="CC62" s="212"/>
      <c r="CD62" s="433"/>
      <c r="CE62" s="433"/>
      <c r="CF62" s="433"/>
      <c r="CG62" s="433"/>
      <c r="CH62" s="433"/>
      <c r="CI62" s="433"/>
      <c r="CJ62" s="433"/>
      <c r="CK62" s="433"/>
    </row>
    <row r="63" spans="1:89" ht="15">
      <c r="A63" s="37">
        <v>2028</v>
      </c>
      <c r="B63" s="93" t="s">
        <v>137</v>
      </c>
      <c r="C63" s="251">
        <v>410.5</v>
      </c>
      <c r="D63" s="254">
        <v>410.5</v>
      </c>
      <c r="E63" s="254">
        <v>0</v>
      </c>
      <c r="F63" s="254">
        <v>0</v>
      </c>
      <c r="G63" s="238">
        <v>0</v>
      </c>
      <c r="H63" s="254">
        <v>80.85606060606061</v>
      </c>
      <c r="I63" s="238">
        <v>0</v>
      </c>
      <c r="J63" s="254">
        <v>137.9831932773111</v>
      </c>
      <c r="K63" s="238">
        <v>63.242296918767536</v>
      </c>
      <c r="L63" s="254">
        <v>178.22829131652657</v>
      </c>
      <c r="M63" s="238">
        <v>2.2997198879551806</v>
      </c>
      <c r="N63" s="254">
        <v>1.1498599439775903</v>
      </c>
      <c r="O63" s="238">
        <v>0</v>
      </c>
      <c r="P63" s="254">
        <v>0</v>
      </c>
      <c r="Q63" s="238">
        <v>0</v>
      </c>
      <c r="R63" s="254">
        <v>0</v>
      </c>
      <c r="S63" s="254">
        <v>0</v>
      </c>
      <c r="T63" s="238">
        <v>0</v>
      </c>
      <c r="U63" s="254">
        <v>0</v>
      </c>
      <c r="V63" s="238">
        <v>252.49622641509416</v>
      </c>
      <c r="W63" s="254">
        <v>0</v>
      </c>
      <c r="X63" s="248">
        <v>62.83397440944889</v>
      </c>
      <c r="Y63" s="248">
        <v>0</v>
      </c>
      <c r="Z63" s="248">
        <v>0</v>
      </c>
      <c r="AA63" s="241">
        <v>0</v>
      </c>
      <c r="AB63" s="58">
        <f t="shared" si="39"/>
        <v>1306011.4954119409</v>
      </c>
      <c r="AC63" s="59">
        <f t="shared" si="40"/>
        <v>0</v>
      </c>
      <c r="AD63" s="59">
        <f t="shared" si="41"/>
        <v>0</v>
      </c>
      <c r="AE63" s="59">
        <f t="shared" si="42"/>
        <v>80681.41151515151</v>
      </c>
      <c r="AF63" s="59">
        <f t="shared" si="43"/>
        <v>0</v>
      </c>
      <c r="AG63" s="59">
        <f t="shared" si="44"/>
        <v>8982.705882352951</v>
      </c>
      <c r="AH63" s="59">
        <f t="shared" si="45"/>
        <v>8234.147058823533</v>
      </c>
      <c r="AI63" s="59">
        <f t="shared" si="46"/>
        <v>34807.98529411764</v>
      </c>
      <c r="AJ63" s="59">
        <f t="shared" si="47"/>
        <v>598.847058823529</v>
      </c>
      <c r="AK63" s="59">
        <f t="shared" si="48"/>
        <v>374.2794117647056</v>
      </c>
      <c r="AL63" s="59">
        <f t="shared" si="49"/>
        <v>0</v>
      </c>
      <c r="AM63" s="59">
        <f t="shared" si="50"/>
        <v>0</v>
      </c>
      <c r="AN63" s="59">
        <f t="shared" si="51"/>
        <v>0</v>
      </c>
      <c r="AO63" s="59">
        <f t="shared" si="52"/>
        <v>0</v>
      </c>
      <c r="AP63" s="59">
        <f t="shared" si="53"/>
        <v>0</v>
      </c>
      <c r="AQ63" s="59">
        <f t="shared" si="54"/>
        <v>0</v>
      </c>
      <c r="AR63" s="256">
        <f t="shared" si="55"/>
        <v>0</v>
      </c>
      <c r="AS63" s="245">
        <f t="shared" si="56"/>
        <v>186614.9110188678</v>
      </c>
      <c r="AT63" s="254">
        <f t="shared" si="57"/>
        <v>0</v>
      </c>
      <c r="AU63" s="236">
        <f t="shared" si="58"/>
        <v>69117.37185039379</v>
      </c>
      <c r="AV63" s="59">
        <f t="shared" si="59"/>
        <v>0</v>
      </c>
      <c r="AW63" s="59">
        <f t="shared" si="60"/>
        <v>0</v>
      </c>
      <c r="AX63" s="59">
        <f t="shared" si="61"/>
        <v>0</v>
      </c>
      <c r="AY63" s="256">
        <v>140000</v>
      </c>
      <c r="AZ63" s="258">
        <v>16900</v>
      </c>
      <c r="BA63" s="258">
        <v>-42.650000000001455</v>
      </c>
      <c r="BB63" s="236"/>
      <c r="BC63" s="59"/>
      <c r="BD63" s="60">
        <v>8514.83</v>
      </c>
      <c r="BE63" s="58">
        <f t="shared" si="62"/>
        <v>1306011.4954119409</v>
      </c>
      <c r="BF63" s="59">
        <f t="shared" si="63"/>
        <v>389411.6590902955</v>
      </c>
      <c r="BG63" s="59">
        <f t="shared" si="64"/>
        <v>165372.18</v>
      </c>
      <c r="BH63" s="60">
        <f t="shared" si="65"/>
        <v>69117.37185039379</v>
      </c>
      <c r="BI63" s="34">
        <f t="shared" si="66"/>
        <v>1860795.3345022362</v>
      </c>
      <c r="BJ63" s="59">
        <f t="shared" si="67"/>
        <v>1860795.3345022362</v>
      </c>
      <c r="BK63" s="60">
        <f t="shared" si="68"/>
        <v>0</v>
      </c>
      <c r="BL63" s="58">
        <f t="shared" si="69"/>
        <v>1695423.154502236</v>
      </c>
      <c r="BM63" s="59">
        <v>4130.141661557662</v>
      </c>
      <c r="BN63" s="59">
        <v>3943.931683298401</v>
      </c>
      <c r="BO63" s="33">
        <f t="shared" si="70"/>
        <v>0.04721430116242003</v>
      </c>
      <c r="BP63" s="204">
        <f t="shared" si="71"/>
        <v>0</v>
      </c>
      <c r="BQ63" s="60">
        <f t="shared" si="72"/>
        <v>0</v>
      </c>
      <c r="BR63" s="205">
        <f t="shared" si="73"/>
        <v>1860795.3345022362</v>
      </c>
      <c r="BS63" s="91">
        <v>0</v>
      </c>
      <c r="BT63" s="91"/>
      <c r="BU63" s="97">
        <f t="shared" si="76"/>
        <v>1860795.3345022362</v>
      </c>
      <c r="BV63" s="10"/>
      <c r="BW63" s="116">
        <f>VLOOKUP(A63,'EYSFF Universal Hrs'!$A$159:$W$216,23,0)</f>
        <v>261545.43256498134</v>
      </c>
      <c r="BX63" s="385">
        <f>VLOOKUP(A63,'EYSFF Extended Hrs'!$A$115:$W$172,11,0)</f>
        <v>0</v>
      </c>
      <c r="BY63" s="23"/>
      <c r="BZ63" s="23"/>
      <c r="CA63" s="225">
        <f>VLOOKUP(A63,'Top Up SEN'!A:E,5,0)</f>
        <v>101600</v>
      </c>
      <c r="CB63" s="225">
        <f>VLOOKUP(A63,'2% threshold'!A:H,8,0)</f>
        <v>42000</v>
      </c>
      <c r="CC63" s="212"/>
      <c r="CD63" s="433"/>
      <c r="CE63" s="433"/>
      <c r="CF63" s="433"/>
      <c r="CG63" s="433"/>
      <c r="CH63" s="433"/>
      <c r="CI63" s="433"/>
      <c r="CJ63" s="433"/>
      <c r="CK63" s="433"/>
    </row>
    <row r="64" spans="1:89" ht="15">
      <c r="A64" s="37">
        <v>2035</v>
      </c>
      <c r="B64" s="115" t="s">
        <v>147</v>
      </c>
      <c r="C64" s="251">
        <v>174</v>
      </c>
      <c r="D64" s="254">
        <v>174</v>
      </c>
      <c r="E64" s="254">
        <v>0</v>
      </c>
      <c r="F64" s="254">
        <v>0</v>
      </c>
      <c r="G64" s="238">
        <v>0</v>
      </c>
      <c r="H64" s="254">
        <v>26.92857142857143</v>
      </c>
      <c r="I64" s="238">
        <v>0</v>
      </c>
      <c r="J64" s="254">
        <v>19.051094890511035</v>
      </c>
      <c r="K64" s="238">
        <v>39.372262773722674</v>
      </c>
      <c r="L64" s="254">
        <v>16.510948905109487</v>
      </c>
      <c r="M64" s="238">
        <v>46.992700729927016</v>
      </c>
      <c r="N64" s="254">
        <v>21.591240875912423</v>
      </c>
      <c r="O64" s="238">
        <v>0</v>
      </c>
      <c r="P64" s="254">
        <v>0</v>
      </c>
      <c r="Q64" s="238">
        <v>0</v>
      </c>
      <c r="R64" s="254">
        <v>0</v>
      </c>
      <c r="S64" s="254">
        <v>0</v>
      </c>
      <c r="T64" s="238">
        <v>0</v>
      </c>
      <c r="U64" s="254">
        <v>0</v>
      </c>
      <c r="V64" s="238">
        <v>24.279069767441822</v>
      </c>
      <c r="W64" s="254">
        <v>0</v>
      </c>
      <c r="X64" s="248">
        <v>20.944105263157883</v>
      </c>
      <c r="Y64" s="248">
        <v>0</v>
      </c>
      <c r="Z64" s="248">
        <v>0</v>
      </c>
      <c r="AA64" s="241">
        <v>0</v>
      </c>
      <c r="AB64" s="58">
        <f t="shared" si="39"/>
        <v>553583.4353268641</v>
      </c>
      <c r="AC64" s="59">
        <f t="shared" si="40"/>
        <v>0</v>
      </c>
      <c r="AD64" s="59">
        <f t="shared" si="41"/>
        <v>0</v>
      </c>
      <c r="AE64" s="59">
        <f t="shared" si="42"/>
        <v>26870.405714285716</v>
      </c>
      <c r="AF64" s="59">
        <f t="shared" si="43"/>
        <v>0</v>
      </c>
      <c r="AG64" s="59">
        <f t="shared" si="44"/>
        <v>1240.2262773722682</v>
      </c>
      <c r="AH64" s="59">
        <f t="shared" si="45"/>
        <v>5126.268613138692</v>
      </c>
      <c r="AI64" s="59">
        <f t="shared" si="46"/>
        <v>3224.588321167883</v>
      </c>
      <c r="AJ64" s="59">
        <f t="shared" si="47"/>
        <v>12236.899270072994</v>
      </c>
      <c r="AK64" s="59">
        <f t="shared" si="48"/>
        <v>7027.948905109493</v>
      </c>
      <c r="AL64" s="59">
        <f t="shared" si="49"/>
        <v>0</v>
      </c>
      <c r="AM64" s="59">
        <f t="shared" si="50"/>
        <v>0</v>
      </c>
      <c r="AN64" s="59">
        <f t="shared" si="51"/>
        <v>0</v>
      </c>
      <c r="AO64" s="59">
        <f t="shared" si="52"/>
        <v>0</v>
      </c>
      <c r="AP64" s="59">
        <f t="shared" si="53"/>
        <v>0</v>
      </c>
      <c r="AQ64" s="59">
        <f t="shared" si="54"/>
        <v>0</v>
      </c>
      <c r="AR64" s="256">
        <f t="shared" si="55"/>
        <v>0</v>
      </c>
      <c r="AS64" s="245">
        <f t="shared" si="56"/>
        <v>17944.1748837209</v>
      </c>
      <c r="AT64" s="254">
        <f t="shared" si="57"/>
        <v>0</v>
      </c>
      <c r="AU64" s="236">
        <f t="shared" si="58"/>
        <v>23038.515789473673</v>
      </c>
      <c r="AV64" s="59">
        <f t="shared" si="59"/>
        <v>0</v>
      </c>
      <c r="AW64" s="59">
        <f t="shared" si="60"/>
        <v>0</v>
      </c>
      <c r="AX64" s="59">
        <f t="shared" si="61"/>
        <v>0</v>
      </c>
      <c r="AY64" s="256">
        <v>140000</v>
      </c>
      <c r="AZ64" s="258">
        <v>9550</v>
      </c>
      <c r="BA64" s="258">
        <v>-672.8</v>
      </c>
      <c r="BB64" s="236"/>
      <c r="BC64" s="59"/>
      <c r="BD64" s="60">
        <v>-30549.56</v>
      </c>
      <c r="BE64" s="58">
        <f t="shared" si="62"/>
        <v>553583.4353268641</v>
      </c>
      <c r="BF64" s="59">
        <f t="shared" si="63"/>
        <v>96709.02777434162</v>
      </c>
      <c r="BG64" s="59">
        <f t="shared" si="64"/>
        <v>118327.64000000001</v>
      </c>
      <c r="BH64" s="60">
        <f t="shared" si="65"/>
        <v>23038.515789473673</v>
      </c>
      <c r="BI64" s="34">
        <f t="shared" si="66"/>
        <v>768620.1031012058</v>
      </c>
      <c r="BJ64" s="59">
        <f t="shared" si="67"/>
        <v>768620.1031012058</v>
      </c>
      <c r="BK64" s="60">
        <f t="shared" si="68"/>
        <v>0</v>
      </c>
      <c r="BL64" s="58">
        <f t="shared" si="69"/>
        <v>650292.4631012059</v>
      </c>
      <c r="BM64" s="59">
        <v>3737.3127295349727</v>
      </c>
      <c r="BN64" s="59">
        <v>3363.159007013343</v>
      </c>
      <c r="BO64" s="33">
        <f t="shared" si="70"/>
        <v>0.11125067882350809</v>
      </c>
      <c r="BP64" s="204">
        <f t="shared" si="71"/>
        <v>0</v>
      </c>
      <c r="BQ64" s="60">
        <f t="shared" si="72"/>
        <v>0</v>
      </c>
      <c r="BR64" s="205">
        <f t="shared" si="73"/>
        <v>768620.1031012058</v>
      </c>
      <c r="BS64" s="91">
        <v>0</v>
      </c>
      <c r="BT64" s="91"/>
      <c r="BU64" s="97">
        <f t="shared" si="76"/>
        <v>768620.1031012058</v>
      </c>
      <c r="BV64" s="10"/>
      <c r="BW64" s="116">
        <f>VLOOKUP(A64,'EYSFF Universal Hrs'!$A$159:$W$216,23,0)</f>
        <v>67097.19303037829</v>
      </c>
      <c r="BX64" s="385">
        <f>VLOOKUP(A64,'EYSFF Extended Hrs'!$A$115:$W$172,11,0)</f>
        <v>17337.77597684194</v>
      </c>
      <c r="BY64" s="23"/>
      <c r="BZ64" s="23"/>
      <c r="CA64" s="225">
        <f>VLOOKUP(A64,'Top Up SEN'!A:E,5,0)</f>
        <v>58500</v>
      </c>
      <c r="CB64" s="225">
        <f>VLOOKUP(A64,'2% threshold'!A:H,8,0)</f>
        <v>0</v>
      </c>
      <c r="CC64" s="212"/>
      <c r="CD64" s="433"/>
      <c r="CE64" s="433"/>
      <c r="CF64" s="433"/>
      <c r="CG64" s="433"/>
      <c r="CH64" s="433"/>
      <c r="CI64" s="433"/>
      <c r="CJ64" s="433"/>
      <c r="CK64" s="433"/>
    </row>
    <row r="65" spans="1:89" ht="15">
      <c r="A65" s="37">
        <v>2040</v>
      </c>
      <c r="B65" s="10" t="s">
        <v>97</v>
      </c>
      <c r="C65" s="251">
        <v>790</v>
      </c>
      <c r="D65" s="254">
        <v>790</v>
      </c>
      <c r="E65" s="254">
        <v>0</v>
      </c>
      <c r="F65" s="254">
        <v>0</v>
      </c>
      <c r="G65" s="238">
        <v>0</v>
      </c>
      <c r="H65" s="254">
        <v>274.30555555555554</v>
      </c>
      <c r="I65" s="238">
        <v>0</v>
      </c>
      <c r="J65" s="254">
        <v>375.4256670902162</v>
      </c>
      <c r="K65" s="238">
        <v>56.21346886912328</v>
      </c>
      <c r="L65" s="254">
        <v>111.42312579415474</v>
      </c>
      <c r="M65" s="238">
        <v>58.22109275730625</v>
      </c>
      <c r="N65" s="254">
        <v>1.0038119440914846</v>
      </c>
      <c r="O65" s="238">
        <v>0</v>
      </c>
      <c r="P65" s="254">
        <v>0</v>
      </c>
      <c r="Q65" s="238">
        <v>0</v>
      </c>
      <c r="R65" s="254">
        <v>0</v>
      </c>
      <c r="S65" s="254">
        <v>0</v>
      </c>
      <c r="T65" s="238">
        <v>0</v>
      </c>
      <c r="U65" s="254">
        <v>0</v>
      </c>
      <c r="V65" s="238">
        <v>322.3109843081315</v>
      </c>
      <c r="W65" s="254">
        <v>0</v>
      </c>
      <c r="X65" s="248">
        <v>164.45033829976416</v>
      </c>
      <c r="Y65" s="248">
        <v>0</v>
      </c>
      <c r="Z65" s="248">
        <v>42.99999999999964</v>
      </c>
      <c r="AA65" s="241">
        <v>0</v>
      </c>
      <c r="AB65" s="58">
        <f t="shared" si="39"/>
        <v>2513396.056943808</v>
      </c>
      <c r="AC65" s="59">
        <f t="shared" si="40"/>
        <v>0</v>
      </c>
      <c r="AD65" s="59">
        <f t="shared" si="41"/>
        <v>0</v>
      </c>
      <c r="AE65" s="59">
        <f t="shared" si="42"/>
        <v>273713.05555555556</v>
      </c>
      <c r="AF65" s="59">
        <f t="shared" si="43"/>
        <v>0</v>
      </c>
      <c r="AG65" s="59">
        <f t="shared" si="44"/>
        <v>24440.210927573073</v>
      </c>
      <c r="AH65" s="59">
        <f t="shared" si="45"/>
        <v>7318.993646759851</v>
      </c>
      <c r="AI65" s="59">
        <f t="shared" si="46"/>
        <v>21760.93646759842</v>
      </c>
      <c r="AJ65" s="59">
        <f t="shared" si="47"/>
        <v>15160.772554002546</v>
      </c>
      <c r="AK65" s="59">
        <f t="shared" si="48"/>
        <v>326.7407878017782</v>
      </c>
      <c r="AL65" s="59">
        <f t="shared" si="49"/>
        <v>0</v>
      </c>
      <c r="AM65" s="59">
        <f t="shared" si="50"/>
        <v>0</v>
      </c>
      <c r="AN65" s="59">
        <f t="shared" si="51"/>
        <v>0</v>
      </c>
      <c r="AO65" s="59">
        <f t="shared" si="52"/>
        <v>0</v>
      </c>
      <c r="AP65" s="59">
        <f t="shared" si="53"/>
        <v>0</v>
      </c>
      <c r="AQ65" s="59">
        <f t="shared" si="54"/>
        <v>0</v>
      </c>
      <c r="AR65" s="256">
        <f t="shared" si="55"/>
        <v>0</v>
      </c>
      <c r="AS65" s="245">
        <f t="shared" si="56"/>
        <v>238213.60228245382</v>
      </c>
      <c r="AT65" s="254">
        <f t="shared" si="57"/>
        <v>0</v>
      </c>
      <c r="AU65" s="236">
        <f t="shared" si="58"/>
        <v>180895.37212974057</v>
      </c>
      <c r="AV65" s="59">
        <f t="shared" si="59"/>
        <v>0</v>
      </c>
      <c r="AW65" s="59">
        <f t="shared" si="60"/>
        <v>34399.99999999971</v>
      </c>
      <c r="AX65" s="59">
        <f t="shared" si="61"/>
        <v>0</v>
      </c>
      <c r="AY65" s="256">
        <v>140000</v>
      </c>
      <c r="AZ65" s="258">
        <v>15800</v>
      </c>
      <c r="BA65" s="258">
        <v>447.6700000000001</v>
      </c>
      <c r="BB65" s="236"/>
      <c r="BC65" s="59"/>
      <c r="BD65" s="60">
        <v>0</v>
      </c>
      <c r="BE65" s="58">
        <f t="shared" si="62"/>
        <v>2513396.056943808</v>
      </c>
      <c r="BF65" s="59">
        <f t="shared" si="63"/>
        <v>796229.6843514852</v>
      </c>
      <c r="BG65" s="59">
        <f t="shared" si="64"/>
        <v>156247.67</v>
      </c>
      <c r="BH65" s="60">
        <f t="shared" si="65"/>
        <v>180895.37212974057</v>
      </c>
      <c r="BI65" s="34">
        <f t="shared" si="66"/>
        <v>3465873.4112952934</v>
      </c>
      <c r="BJ65" s="59">
        <f t="shared" si="67"/>
        <v>3465873.4112952934</v>
      </c>
      <c r="BK65" s="60">
        <f t="shared" si="68"/>
        <v>0</v>
      </c>
      <c r="BL65" s="58">
        <f t="shared" si="69"/>
        <v>3309625.7412952934</v>
      </c>
      <c r="BM65" s="59">
        <v>4189.39962351457</v>
      </c>
      <c r="BN65" s="59">
        <v>4180.398155620609</v>
      </c>
      <c r="BO65" s="33">
        <f t="shared" si="70"/>
        <v>0.0021532561155348253</v>
      </c>
      <c r="BP65" s="204">
        <f t="shared" si="71"/>
        <v>0</v>
      </c>
      <c r="BQ65" s="60">
        <f t="shared" si="72"/>
        <v>0</v>
      </c>
      <c r="BR65" s="205">
        <f t="shared" si="73"/>
        <v>3465873.4112952934</v>
      </c>
      <c r="BS65" s="91">
        <v>0</v>
      </c>
      <c r="BT65" s="91"/>
      <c r="BU65" s="97">
        <f t="shared" si="76"/>
        <v>3465873.4112952934</v>
      </c>
      <c r="BV65" s="10"/>
      <c r="BW65" s="116">
        <f>VLOOKUP(A65,'EYSFF Universal Hrs'!$A$159:$W$216,23,0)</f>
        <v>255097.8019969073</v>
      </c>
      <c r="BX65" s="385">
        <f>VLOOKUP(A65,'EYSFF Extended Hrs'!$A$115:$W$172,11,0)</f>
        <v>11562.506606092116</v>
      </c>
      <c r="BY65" s="23"/>
      <c r="BZ65" s="23"/>
      <c r="CA65" s="225">
        <f>VLOOKUP(A65,'Top Up SEN'!A:E,5,0)</f>
        <v>60851</v>
      </c>
      <c r="CB65" s="225">
        <f>VLOOKUP(A65,'2% threshold'!A:H,8,0)</f>
        <v>0</v>
      </c>
      <c r="CC65" s="212"/>
      <c r="CD65" s="433"/>
      <c r="CE65" s="433"/>
      <c r="CF65" s="433"/>
      <c r="CG65" s="433"/>
      <c r="CH65" s="433"/>
      <c r="CI65" s="433"/>
      <c r="CJ65" s="433"/>
      <c r="CK65" s="433"/>
    </row>
    <row r="66" spans="1:89" ht="15">
      <c r="A66" s="37">
        <v>2045</v>
      </c>
      <c r="B66" s="10" t="s">
        <v>140</v>
      </c>
      <c r="C66" s="251">
        <v>396</v>
      </c>
      <c r="D66" s="254">
        <v>396</v>
      </c>
      <c r="E66" s="254">
        <v>0</v>
      </c>
      <c r="F66" s="254">
        <v>0</v>
      </c>
      <c r="G66" s="238">
        <v>0</v>
      </c>
      <c r="H66" s="254">
        <v>87.68970380818057</v>
      </c>
      <c r="I66" s="238">
        <v>0</v>
      </c>
      <c r="J66" s="254">
        <v>61.237113402061865</v>
      </c>
      <c r="K66" s="238">
        <v>149.01030927835035</v>
      </c>
      <c r="L66" s="254">
        <v>137.78350515463922</v>
      </c>
      <c r="M66" s="238">
        <v>12.247422680412374</v>
      </c>
      <c r="N66" s="254">
        <v>0</v>
      </c>
      <c r="O66" s="238">
        <v>0</v>
      </c>
      <c r="P66" s="254">
        <v>0</v>
      </c>
      <c r="Q66" s="238">
        <v>0</v>
      </c>
      <c r="R66" s="254">
        <v>0</v>
      </c>
      <c r="S66" s="254">
        <v>0</v>
      </c>
      <c r="T66" s="238">
        <v>0</v>
      </c>
      <c r="U66" s="254">
        <v>0</v>
      </c>
      <c r="V66" s="238">
        <v>149.36842105263145</v>
      </c>
      <c r="W66" s="254">
        <v>0</v>
      </c>
      <c r="X66" s="248">
        <v>56.213524285714286</v>
      </c>
      <c r="Y66" s="248">
        <v>0</v>
      </c>
      <c r="Z66" s="248">
        <v>0</v>
      </c>
      <c r="AA66" s="241">
        <v>0</v>
      </c>
      <c r="AB66" s="58">
        <f t="shared" si="39"/>
        <v>1259879.5424680356</v>
      </c>
      <c r="AC66" s="59">
        <f t="shared" si="40"/>
        <v>0</v>
      </c>
      <c r="AD66" s="59">
        <f t="shared" si="41"/>
        <v>0</v>
      </c>
      <c r="AE66" s="59">
        <f t="shared" si="42"/>
        <v>87500.2940479549</v>
      </c>
      <c r="AF66" s="59">
        <f t="shared" si="43"/>
        <v>0</v>
      </c>
      <c r="AG66" s="59">
        <f t="shared" si="44"/>
        <v>3986.536082474227</v>
      </c>
      <c r="AH66" s="59">
        <f t="shared" si="45"/>
        <v>19401.142268041214</v>
      </c>
      <c r="AI66" s="59">
        <f t="shared" si="46"/>
        <v>26909.11855670104</v>
      </c>
      <c r="AJ66" s="59">
        <f t="shared" si="47"/>
        <v>3189.2288659793817</v>
      </c>
      <c r="AK66" s="59">
        <f t="shared" si="48"/>
        <v>0</v>
      </c>
      <c r="AL66" s="59">
        <f t="shared" si="49"/>
        <v>0</v>
      </c>
      <c r="AM66" s="59">
        <f t="shared" si="50"/>
        <v>0</v>
      </c>
      <c r="AN66" s="59">
        <f t="shared" si="51"/>
        <v>0</v>
      </c>
      <c r="AO66" s="59">
        <f t="shared" si="52"/>
        <v>0</v>
      </c>
      <c r="AP66" s="59">
        <f t="shared" si="53"/>
        <v>0</v>
      </c>
      <c r="AQ66" s="59">
        <f t="shared" si="54"/>
        <v>0</v>
      </c>
      <c r="AR66" s="256">
        <f t="shared" si="55"/>
        <v>0</v>
      </c>
      <c r="AS66" s="245">
        <f t="shared" si="56"/>
        <v>110395.21263157886</v>
      </c>
      <c r="AT66" s="254">
        <f t="shared" si="57"/>
        <v>0</v>
      </c>
      <c r="AU66" s="236">
        <f t="shared" si="58"/>
        <v>61834.87671428572</v>
      </c>
      <c r="AV66" s="59">
        <f t="shared" si="59"/>
        <v>0</v>
      </c>
      <c r="AW66" s="59">
        <f t="shared" si="60"/>
        <v>0</v>
      </c>
      <c r="AX66" s="59">
        <f t="shared" si="61"/>
        <v>0</v>
      </c>
      <c r="AY66" s="256">
        <v>140000</v>
      </c>
      <c r="AZ66" s="258">
        <v>0</v>
      </c>
      <c r="BA66" s="258">
        <v>0</v>
      </c>
      <c r="BB66" s="236"/>
      <c r="BC66" s="59"/>
      <c r="BD66" s="60">
        <v>-78216.02</v>
      </c>
      <c r="BE66" s="58">
        <f t="shared" si="62"/>
        <v>1259879.5424680356</v>
      </c>
      <c r="BF66" s="59">
        <f t="shared" si="63"/>
        <v>313216.40916701534</v>
      </c>
      <c r="BG66" s="59">
        <f t="shared" si="64"/>
        <v>61783.979999999996</v>
      </c>
      <c r="BH66" s="60">
        <f t="shared" si="65"/>
        <v>61834.87671428572</v>
      </c>
      <c r="BI66" s="34">
        <f t="shared" si="66"/>
        <v>1634879.931635051</v>
      </c>
      <c r="BJ66" s="59">
        <f t="shared" si="67"/>
        <v>1634879.931635051</v>
      </c>
      <c r="BK66" s="60">
        <f t="shared" si="68"/>
        <v>0</v>
      </c>
      <c r="BL66" s="58">
        <f t="shared" si="69"/>
        <v>1573095.951635051</v>
      </c>
      <c r="BM66" s="59">
        <v>3972.464504196916</v>
      </c>
      <c r="BN66" s="59">
        <v>4359.781054144186</v>
      </c>
      <c r="BO66" s="33">
        <f t="shared" si="70"/>
        <v>-0.08883853228801625</v>
      </c>
      <c r="BP66" s="204">
        <f t="shared" si="71"/>
        <v>0.07383853228801625</v>
      </c>
      <c r="BQ66" s="60">
        <f t="shared" si="72"/>
        <v>127480.25431750237</v>
      </c>
      <c r="BR66" s="205">
        <f t="shared" si="73"/>
        <v>1762360.1859525535</v>
      </c>
      <c r="BS66" s="91">
        <v>0</v>
      </c>
      <c r="BT66" s="91"/>
      <c r="BU66" s="97">
        <f t="shared" si="76"/>
        <v>1762360.1859525535</v>
      </c>
      <c r="BV66" s="10"/>
      <c r="BW66" s="116">
        <f>VLOOKUP(A66,'EYSFF Universal Hrs'!$A$159:$W$216,23,0)</f>
        <v>109418.23307251101</v>
      </c>
      <c r="BX66" s="385">
        <f>VLOOKUP(A66,'EYSFF Extended Hrs'!$A$115:$W$172,11,0)</f>
        <v>0</v>
      </c>
      <c r="BY66" s="23"/>
      <c r="BZ66" s="23"/>
      <c r="CA66" s="225">
        <f>VLOOKUP(A66,'Top Up SEN'!A:E,5,0)</f>
        <v>5942</v>
      </c>
      <c r="CB66" s="225">
        <f>VLOOKUP(A66,'2% threshold'!A:H,8,0)</f>
        <v>0</v>
      </c>
      <c r="CC66" s="212"/>
      <c r="CD66" s="433"/>
      <c r="CE66" s="433"/>
      <c r="CF66" s="433"/>
      <c r="CG66" s="433"/>
      <c r="CH66" s="433"/>
      <c r="CI66" s="433"/>
      <c r="CJ66" s="433"/>
      <c r="CK66" s="433"/>
    </row>
    <row r="67" spans="1:89" ht="15">
      <c r="A67" s="37">
        <v>2048</v>
      </c>
      <c r="B67" s="115" t="s">
        <v>19</v>
      </c>
      <c r="C67" s="251">
        <v>390</v>
      </c>
      <c r="D67" s="254">
        <v>390</v>
      </c>
      <c r="E67" s="254">
        <v>0</v>
      </c>
      <c r="F67" s="254">
        <v>0</v>
      </c>
      <c r="G67" s="238">
        <v>0</v>
      </c>
      <c r="H67" s="254">
        <v>92.02247191011236</v>
      </c>
      <c r="I67" s="238">
        <v>0</v>
      </c>
      <c r="J67" s="254">
        <v>134.00000000000014</v>
      </c>
      <c r="K67" s="238">
        <v>29.99999999999999</v>
      </c>
      <c r="L67" s="254">
        <v>12.999999999999986</v>
      </c>
      <c r="M67" s="238">
        <v>6.000000000000005</v>
      </c>
      <c r="N67" s="254">
        <v>2.000000000000001</v>
      </c>
      <c r="O67" s="238">
        <v>0</v>
      </c>
      <c r="P67" s="254">
        <v>0</v>
      </c>
      <c r="Q67" s="238">
        <v>0</v>
      </c>
      <c r="R67" s="254">
        <v>0</v>
      </c>
      <c r="S67" s="254">
        <v>0</v>
      </c>
      <c r="T67" s="238">
        <v>0</v>
      </c>
      <c r="U67" s="254">
        <v>0</v>
      </c>
      <c r="V67" s="238">
        <v>77.09302325581389</v>
      </c>
      <c r="W67" s="254">
        <v>0</v>
      </c>
      <c r="X67" s="248">
        <v>59.7199530402832</v>
      </c>
      <c r="Y67" s="248">
        <v>0</v>
      </c>
      <c r="Z67" s="248">
        <v>19.000000000000107</v>
      </c>
      <c r="AA67" s="241">
        <v>0</v>
      </c>
      <c r="AB67" s="58">
        <f t="shared" si="39"/>
        <v>1240790.4584912471</v>
      </c>
      <c r="AC67" s="59">
        <f t="shared" si="40"/>
        <v>0</v>
      </c>
      <c r="AD67" s="59">
        <f t="shared" si="41"/>
        <v>0</v>
      </c>
      <c r="AE67" s="59">
        <f t="shared" si="42"/>
        <v>91823.70337078652</v>
      </c>
      <c r="AF67" s="59">
        <f t="shared" si="43"/>
        <v>0</v>
      </c>
      <c r="AG67" s="59">
        <f t="shared" si="44"/>
        <v>8723.400000000009</v>
      </c>
      <c r="AH67" s="59">
        <f t="shared" si="45"/>
        <v>3905.999999999998</v>
      </c>
      <c r="AI67" s="59">
        <f t="shared" si="46"/>
        <v>2538.8999999999974</v>
      </c>
      <c r="AJ67" s="59">
        <f t="shared" si="47"/>
        <v>1562.4000000000012</v>
      </c>
      <c r="AK67" s="59">
        <f t="shared" si="48"/>
        <v>651.0000000000003</v>
      </c>
      <c r="AL67" s="59">
        <f t="shared" si="49"/>
        <v>0</v>
      </c>
      <c r="AM67" s="59">
        <f t="shared" si="50"/>
        <v>0</v>
      </c>
      <c r="AN67" s="59">
        <f t="shared" si="51"/>
        <v>0</v>
      </c>
      <c r="AO67" s="59">
        <f t="shared" si="52"/>
        <v>0</v>
      </c>
      <c r="AP67" s="59">
        <f t="shared" si="53"/>
        <v>0</v>
      </c>
      <c r="AQ67" s="59">
        <f t="shared" si="54"/>
        <v>0</v>
      </c>
      <c r="AR67" s="256">
        <f t="shared" si="55"/>
        <v>0</v>
      </c>
      <c r="AS67" s="245">
        <f t="shared" si="56"/>
        <v>56977.911627906935</v>
      </c>
      <c r="AT67" s="254">
        <f t="shared" si="57"/>
        <v>0</v>
      </c>
      <c r="AU67" s="236">
        <f t="shared" si="58"/>
        <v>65691.94834431152</v>
      </c>
      <c r="AV67" s="59">
        <f t="shared" si="59"/>
        <v>0</v>
      </c>
      <c r="AW67" s="59">
        <f t="shared" si="60"/>
        <v>15200.000000000085</v>
      </c>
      <c r="AX67" s="59">
        <f t="shared" si="61"/>
        <v>0</v>
      </c>
      <c r="AY67" s="256">
        <v>140000</v>
      </c>
      <c r="AZ67" s="258">
        <v>14700</v>
      </c>
      <c r="BA67" s="258">
        <v>1420.0300000000007</v>
      </c>
      <c r="BB67" s="236"/>
      <c r="BC67" s="59"/>
      <c r="BD67" s="60">
        <v>0</v>
      </c>
      <c r="BE67" s="58">
        <f t="shared" si="62"/>
        <v>1240790.4584912471</v>
      </c>
      <c r="BF67" s="59">
        <f t="shared" si="63"/>
        <v>247075.26334300506</v>
      </c>
      <c r="BG67" s="59">
        <f t="shared" si="64"/>
        <v>156120.03</v>
      </c>
      <c r="BH67" s="60">
        <f t="shared" si="65"/>
        <v>65691.94834431152</v>
      </c>
      <c r="BI67" s="34">
        <f t="shared" si="66"/>
        <v>1643985.7518342522</v>
      </c>
      <c r="BJ67" s="59">
        <f t="shared" si="67"/>
        <v>1643985.7518342522</v>
      </c>
      <c r="BK67" s="60">
        <f t="shared" si="68"/>
        <v>0</v>
      </c>
      <c r="BL67" s="58">
        <f t="shared" si="69"/>
        <v>1487865.7218342521</v>
      </c>
      <c r="BM67" s="59">
        <v>3815.040298207057</v>
      </c>
      <c r="BN67" s="59">
        <v>3759.3298959641256</v>
      </c>
      <c r="BO67" s="33">
        <f t="shared" si="70"/>
        <v>0.014819237413226164</v>
      </c>
      <c r="BP67" s="204">
        <f t="shared" si="71"/>
        <v>0</v>
      </c>
      <c r="BQ67" s="60">
        <f t="shared" si="72"/>
        <v>0</v>
      </c>
      <c r="BR67" s="205">
        <f t="shared" si="73"/>
        <v>1643985.7518342522</v>
      </c>
      <c r="BS67" s="91">
        <v>0</v>
      </c>
      <c r="BT67" s="91"/>
      <c r="BU67" s="97">
        <f t="shared" si="76"/>
        <v>1643985.7518342522</v>
      </c>
      <c r="BV67" s="10"/>
      <c r="BW67" s="116">
        <f>VLOOKUP(A67,'EYSFF Universal Hrs'!$A$159:$W$216,23,0)</f>
        <v>144044.07396662098</v>
      </c>
      <c r="BX67" s="385">
        <f>VLOOKUP(A67,'EYSFF Extended Hrs'!$A$115:$W$172,11,0)</f>
        <v>19379.900121813364</v>
      </c>
      <c r="BY67" s="23"/>
      <c r="BZ67" s="23"/>
      <c r="CA67" s="225">
        <f>VLOOKUP(A67,'Top Up SEN'!A:E,5,0)</f>
        <v>16284</v>
      </c>
      <c r="CB67" s="225">
        <f>VLOOKUP(A67,'2% threshold'!A:H,8,0)</f>
        <v>0</v>
      </c>
      <c r="CC67" s="212"/>
      <c r="CD67" s="433"/>
      <c r="CE67" s="433"/>
      <c r="CF67" s="433"/>
      <c r="CG67" s="433"/>
      <c r="CH67" s="433"/>
      <c r="CI67" s="433"/>
      <c r="CJ67" s="433"/>
      <c r="CK67" s="433"/>
    </row>
    <row r="68" spans="1:89" ht="15">
      <c r="A68" s="37">
        <v>2049</v>
      </c>
      <c r="B68" s="211" t="s">
        <v>212</v>
      </c>
      <c r="C68" s="251">
        <v>559</v>
      </c>
      <c r="D68" s="254">
        <v>559</v>
      </c>
      <c r="E68" s="254">
        <v>0</v>
      </c>
      <c r="F68" s="254">
        <v>0</v>
      </c>
      <c r="G68" s="238">
        <v>0</v>
      </c>
      <c r="H68" s="254">
        <v>108.77326565143824</v>
      </c>
      <c r="I68" s="238">
        <v>0</v>
      </c>
      <c r="J68" s="254">
        <v>224.99999999999991</v>
      </c>
      <c r="K68" s="238">
        <v>146.00000000000003</v>
      </c>
      <c r="L68" s="254">
        <v>21.00000000000001</v>
      </c>
      <c r="M68" s="238">
        <v>21.99999999999998</v>
      </c>
      <c r="N68" s="254">
        <v>2.9999999999999973</v>
      </c>
      <c r="O68" s="238">
        <v>0</v>
      </c>
      <c r="P68" s="254">
        <v>0</v>
      </c>
      <c r="Q68" s="238">
        <v>0</v>
      </c>
      <c r="R68" s="254">
        <v>0</v>
      </c>
      <c r="S68" s="254">
        <v>0</v>
      </c>
      <c r="T68" s="238">
        <v>0</v>
      </c>
      <c r="U68" s="254">
        <v>0</v>
      </c>
      <c r="V68" s="238">
        <v>251.55</v>
      </c>
      <c r="W68" s="254">
        <v>0</v>
      </c>
      <c r="X68" s="248">
        <v>150.0577868473377</v>
      </c>
      <c r="Y68" s="248">
        <v>0</v>
      </c>
      <c r="Z68" s="248">
        <v>0</v>
      </c>
      <c r="AA68" s="241">
        <v>0</v>
      </c>
      <c r="AB68" s="58">
        <f t="shared" si="39"/>
        <v>1778466.3238374542</v>
      </c>
      <c r="AC68" s="59">
        <f t="shared" si="40"/>
        <v>0</v>
      </c>
      <c r="AD68" s="59">
        <f t="shared" si="41"/>
        <v>0</v>
      </c>
      <c r="AE68" s="59">
        <f t="shared" si="42"/>
        <v>108538.31539763113</v>
      </c>
      <c r="AF68" s="59">
        <f t="shared" si="43"/>
        <v>0</v>
      </c>
      <c r="AG68" s="59">
        <f t="shared" si="44"/>
        <v>14647.499999999993</v>
      </c>
      <c r="AH68" s="59">
        <f t="shared" si="45"/>
        <v>19009.2</v>
      </c>
      <c r="AI68" s="59">
        <f t="shared" si="46"/>
        <v>4101.300000000002</v>
      </c>
      <c r="AJ68" s="59">
        <f t="shared" si="47"/>
        <v>5728.799999999994</v>
      </c>
      <c r="AK68" s="59">
        <f t="shared" si="48"/>
        <v>976.4999999999991</v>
      </c>
      <c r="AL68" s="59">
        <f t="shared" si="49"/>
        <v>0</v>
      </c>
      <c r="AM68" s="59">
        <f t="shared" si="50"/>
        <v>0</v>
      </c>
      <c r="AN68" s="59">
        <f t="shared" si="51"/>
        <v>0</v>
      </c>
      <c r="AO68" s="59">
        <f t="shared" si="52"/>
        <v>0</v>
      </c>
      <c r="AP68" s="59">
        <f t="shared" si="53"/>
        <v>0</v>
      </c>
      <c r="AQ68" s="59">
        <f t="shared" si="54"/>
        <v>0</v>
      </c>
      <c r="AR68" s="256">
        <f t="shared" si="55"/>
        <v>0</v>
      </c>
      <c r="AS68" s="245">
        <f t="shared" si="56"/>
        <v>185915.57400000002</v>
      </c>
      <c r="AT68" s="254">
        <f t="shared" si="57"/>
        <v>0</v>
      </c>
      <c r="AU68" s="236">
        <f t="shared" si="58"/>
        <v>165063.56553207146</v>
      </c>
      <c r="AV68" s="59">
        <f t="shared" si="59"/>
        <v>0</v>
      </c>
      <c r="AW68" s="59">
        <f t="shared" si="60"/>
        <v>0</v>
      </c>
      <c r="AX68" s="59">
        <f t="shared" si="61"/>
        <v>0</v>
      </c>
      <c r="AY68" s="256">
        <v>140000</v>
      </c>
      <c r="AZ68" s="258">
        <v>47520</v>
      </c>
      <c r="BA68" s="258">
        <v>2916.25</v>
      </c>
      <c r="BB68" s="236"/>
      <c r="BC68" s="59"/>
      <c r="BD68" s="60">
        <v>0</v>
      </c>
      <c r="BE68" s="58">
        <f t="shared" si="62"/>
        <v>1778466.3238374542</v>
      </c>
      <c r="BF68" s="59">
        <f t="shared" si="63"/>
        <v>503980.75492970255</v>
      </c>
      <c r="BG68" s="59">
        <f t="shared" si="64"/>
        <v>190436.25</v>
      </c>
      <c r="BH68" s="60">
        <f t="shared" si="65"/>
        <v>165063.56553207146</v>
      </c>
      <c r="BI68" s="34">
        <f t="shared" si="66"/>
        <v>2472883.3287671567</v>
      </c>
      <c r="BJ68" s="59">
        <f t="shared" si="67"/>
        <v>2472883.3287671567</v>
      </c>
      <c r="BK68" s="60">
        <f t="shared" si="68"/>
        <v>0</v>
      </c>
      <c r="BL68" s="58">
        <f t="shared" si="69"/>
        <v>2282447.0787671567</v>
      </c>
      <c r="BM68" s="59">
        <v>4083.089556357615</v>
      </c>
      <c r="BN68" s="59">
        <v>4014.295176450512</v>
      </c>
      <c r="BO68" s="33">
        <f t="shared" si="70"/>
        <v>0.01713734961760633</v>
      </c>
      <c r="BP68" s="204">
        <f t="shared" si="71"/>
        <v>0</v>
      </c>
      <c r="BQ68" s="60">
        <f t="shared" si="72"/>
        <v>0</v>
      </c>
      <c r="BR68" s="205">
        <f t="shared" si="73"/>
        <v>2472883.3287671567</v>
      </c>
      <c r="BS68" s="91">
        <v>0</v>
      </c>
      <c r="BT68" s="91"/>
      <c r="BU68" s="97">
        <f t="shared" si="76"/>
        <v>2472883.3287671567</v>
      </c>
      <c r="BV68" s="10"/>
      <c r="BW68" s="116">
        <f>VLOOKUP(A68,'EYSFF Universal Hrs'!$A$159:$W$216,23,0)</f>
        <v>180725.92774721465</v>
      </c>
      <c r="BX68" s="385">
        <f>VLOOKUP(A68,'EYSFF Extended Hrs'!$A$115:$W$172,11,0)</f>
        <v>0</v>
      </c>
      <c r="BY68" s="23"/>
      <c r="BZ68" s="23"/>
      <c r="CA68" s="225">
        <f>VLOOKUP(A68,'Top Up SEN'!A:E,5,0)</f>
        <v>52742</v>
      </c>
      <c r="CB68" s="225">
        <f>VLOOKUP(A68,'2% threshold'!A:H,8,0)</f>
        <v>0</v>
      </c>
      <c r="CC68" s="212"/>
      <c r="CD68" s="433"/>
      <c r="CE68" s="433"/>
      <c r="CF68" s="433"/>
      <c r="CG68" s="433"/>
      <c r="CH68" s="433"/>
      <c r="CI68" s="433"/>
      <c r="CJ68" s="433"/>
      <c r="CK68" s="433"/>
    </row>
    <row r="69" spans="1:89" ht="15">
      <c r="A69" s="37">
        <v>2051</v>
      </c>
      <c r="B69" s="211" t="s">
        <v>213</v>
      </c>
      <c r="C69" s="251">
        <v>541</v>
      </c>
      <c r="D69" s="254">
        <v>541</v>
      </c>
      <c r="E69" s="254">
        <v>0</v>
      </c>
      <c r="F69" s="254">
        <v>0</v>
      </c>
      <c r="G69" s="238">
        <v>0</v>
      </c>
      <c r="H69" s="254">
        <v>151.6921568627451</v>
      </c>
      <c r="I69" s="238">
        <v>0</v>
      </c>
      <c r="J69" s="254">
        <v>130.24074074074088</v>
      </c>
      <c r="K69" s="238">
        <v>88.16296296296298</v>
      </c>
      <c r="L69" s="254">
        <v>36.066666666666684</v>
      </c>
      <c r="M69" s="238">
        <v>225.41666666666686</v>
      </c>
      <c r="N69" s="254">
        <v>7.012962962962983</v>
      </c>
      <c r="O69" s="238">
        <v>0</v>
      </c>
      <c r="P69" s="254">
        <v>0</v>
      </c>
      <c r="Q69" s="238">
        <v>0</v>
      </c>
      <c r="R69" s="254">
        <v>0</v>
      </c>
      <c r="S69" s="254">
        <v>0</v>
      </c>
      <c r="T69" s="238">
        <v>0</v>
      </c>
      <c r="U69" s="254">
        <v>0</v>
      </c>
      <c r="V69" s="238">
        <v>234.95545657015566</v>
      </c>
      <c r="W69" s="254">
        <v>0</v>
      </c>
      <c r="X69" s="248">
        <v>114.25778718896271</v>
      </c>
      <c r="Y69" s="248">
        <v>0</v>
      </c>
      <c r="Z69" s="248">
        <v>15.899999999999801</v>
      </c>
      <c r="AA69" s="241">
        <v>0</v>
      </c>
      <c r="AB69" s="58">
        <f aca="true" t="shared" si="77" ref="AB69:AB95">$AB$3*D69</f>
        <v>1721199.071907089</v>
      </c>
      <c r="AC69" s="59">
        <f aca="true" t="shared" si="78" ref="AC69:AC95">$AC$3*F69</f>
        <v>0</v>
      </c>
      <c r="AD69" s="59">
        <f aca="true" t="shared" si="79" ref="AD69:AD95">$AD$3*G69</f>
        <v>0</v>
      </c>
      <c r="AE69" s="59">
        <f aca="true" t="shared" si="80" ref="AE69:AE95">$AE$3*H69</f>
        <v>151364.50180392156</v>
      </c>
      <c r="AF69" s="59">
        <f aca="true" t="shared" si="81" ref="AF69:AF95">AF$3*I69</f>
        <v>0</v>
      </c>
      <c r="AG69" s="59">
        <f aca="true" t="shared" si="82" ref="AG69:AG95">AG$3*J69</f>
        <v>8478.67222222223</v>
      </c>
      <c r="AH69" s="59">
        <f aca="true" t="shared" si="83" ref="AH69:AH95">AH$3*K69</f>
        <v>11478.817777777778</v>
      </c>
      <c r="AI69" s="59">
        <f aca="true" t="shared" si="84" ref="AI69:AI95">AI$3*L69</f>
        <v>7043.820000000004</v>
      </c>
      <c r="AJ69" s="59">
        <f aca="true" t="shared" si="85" ref="AJ69:AJ95">AJ$3*M69</f>
        <v>58698.500000000044</v>
      </c>
      <c r="AK69" s="59">
        <f aca="true" t="shared" si="86" ref="AK69:AK95">AK$3*N69</f>
        <v>2282.719444444451</v>
      </c>
      <c r="AL69" s="59">
        <f aca="true" t="shared" si="87" ref="AL69:AL95">AL$3*O69</f>
        <v>0</v>
      </c>
      <c r="AM69" s="59">
        <f aca="true" t="shared" si="88" ref="AM69:AM95">AM$3*P69</f>
        <v>0</v>
      </c>
      <c r="AN69" s="59">
        <f aca="true" t="shared" si="89" ref="AN69:AN95">AN$3*Q69</f>
        <v>0</v>
      </c>
      <c r="AO69" s="59">
        <f aca="true" t="shared" si="90" ref="AO69:AO95">AO$3*R69</f>
        <v>0</v>
      </c>
      <c r="AP69" s="59">
        <f aca="true" t="shared" si="91" ref="AP69:AP95">AP$3*S69</f>
        <v>0</v>
      </c>
      <c r="AQ69" s="59">
        <f aca="true" t="shared" si="92" ref="AQ69:AQ95">AQ$3*T69</f>
        <v>0</v>
      </c>
      <c r="AR69" s="256">
        <f aca="true" t="shared" si="93" ref="AR69:AR95">AR$3*U69</f>
        <v>0</v>
      </c>
      <c r="AS69" s="245">
        <f aca="true" t="shared" si="94" ref="AS69:AS95">SUM(V69)*$AS$3</f>
        <v>173650.87884187067</v>
      </c>
      <c r="AT69" s="254">
        <f aca="true" t="shared" si="95" ref="AT69:AT95">SUM(W69)*$AT$3</f>
        <v>0</v>
      </c>
      <c r="AU69" s="236">
        <f aca="true" t="shared" si="96" ref="AU69:AU95">$AU$3*X69</f>
        <v>125683.56590785898</v>
      </c>
      <c r="AV69" s="59">
        <f aca="true" t="shared" si="97" ref="AV69:AV95">$AV$3*Y69</f>
        <v>0</v>
      </c>
      <c r="AW69" s="59">
        <f aca="true" t="shared" si="98" ref="AW69:AW95">$AW$3*Z69</f>
        <v>12719.999999999842</v>
      </c>
      <c r="AX69" s="59">
        <f aca="true" t="shared" si="99" ref="AX69:AX95">$AX$3*AA69</f>
        <v>0</v>
      </c>
      <c r="AY69" s="256">
        <v>140000</v>
      </c>
      <c r="AZ69" s="258">
        <v>58000</v>
      </c>
      <c r="BA69" s="258">
        <v>-35275.94</v>
      </c>
      <c r="BB69" s="236"/>
      <c r="BC69" s="59"/>
      <c r="BD69" s="60">
        <v>0</v>
      </c>
      <c r="BE69" s="58">
        <f aca="true" t="shared" si="100" ref="BE69:BE95">SUM(AB69:AD69)</f>
        <v>1721199.071907089</v>
      </c>
      <c r="BF69" s="59">
        <f aca="true" t="shared" si="101" ref="BF69:BF95">SUM(AE69:AX69)</f>
        <v>551401.4759980957</v>
      </c>
      <c r="BG69" s="59">
        <f aca="true" t="shared" si="102" ref="BG69:BG95">SUM(AY69:BD69)</f>
        <v>162724.06</v>
      </c>
      <c r="BH69" s="60">
        <f aca="true" t="shared" si="103" ref="BH69:BH95">SUM(AU69:AV69)</f>
        <v>125683.56590785898</v>
      </c>
      <c r="BI69" s="34">
        <f aca="true" t="shared" si="104" ref="BI69:BI95">SUM(BE69:BG69)</f>
        <v>2435324.607905185</v>
      </c>
      <c r="BJ69" s="59">
        <f aca="true" t="shared" si="105" ref="BJ69:BJ94">SUM(D69/C69*BI69)</f>
        <v>2435324.607905185</v>
      </c>
      <c r="BK69" s="60">
        <f aca="true" t="shared" si="106" ref="BK69:BK94">SUM(E69/C69*BI69)</f>
        <v>0</v>
      </c>
      <c r="BL69" s="58">
        <f aca="true" t="shared" si="107" ref="BL69:BL92">BI69-BA69-AZ69-AY69-BD69</f>
        <v>2272600.547905185</v>
      </c>
      <c r="BM69" s="59">
        <v>4200.740102499328</v>
      </c>
      <c r="BN69" s="59">
        <v>4095.8924203557312</v>
      </c>
      <c r="BO69" s="33">
        <f aca="true" t="shared" si="108" ref="BO69:BO95">(BM69-BN69)/BN69</f>
        <v>0.025598250975178313</v>
      </c>
      <c r="BP69" s="204">
        <f aca="true" t="shared" si="109" ref="BP69:BP95">IF(BO69&gt;-0.015,0,-0.015-BO69)</f>
        <v>0</v>
      </c>
      <c r="BQ69" s="60">
        <f aca="true" t="shared" si="110" ref="BQ69:BQ95">BN69*BP69*C69</f>
        <v>0</v>
      </c>
      <c r="BR69" s="205">
        <f aca="true" t="shared" si="111" ref="BR69:BR95">BI69+BQ69</f>
        <v>2435324.607905185</v>
      </c>
      <c r="BS69" s="91">
        <v>0</v>
      </c>
      <c r="BT69" s="91"/>
      <c r="BU69" s="97">
        <f aca="true" t="shared" si="112" ref="BU69:BU95">BR69-BS69-BT69</f>
        <v>2435324.607905185</v>
      </c>
      <c r="BV69" s="10"/>
      <c r="BW69" s="116">
        <f>VLOOKUP(A69,'EYSFF Universal Hrs'!$A$159:$W$216,23,0)</f>
        <v>193909.533978417</v>
      </c>
      <c r="BX69" s="385">
        <f>VLOOKUP(A69,'EYSFF Extended Hrs'!$A$115:$W$172,11,0)</f>
        <v>0</v>
      </c>
      <c r="BY69" s="23">
        <v>63160</v>
      </c>
      <c r="BZ69" s="23">
        <v>43865</v>
      </c>
      <c r="CA69" s="225">
        <f>VLOOKUP(A69,'Top Up SEN'!A:E,5,0)</f>
        <v>99284</v>
      </c>
      <c r="CB69" s="225">
        <f>VLOOKUP(A69,'2% threshold'!A:H,8,0)</f>
        <v>24000</v>
      </c>
      <c r="CC69" s="212"/>
      <c r="CD69" s="433"/>
      <c r="CE69" s="433"/>
      <c r="CF69" s="433"/>
      <c r="CG69" s="433"/>
      <c r="CH69" s="433"/>
      <c r="CI69" s="433"/>
      <c r="CJ69" s="433"/>
      <c r="CK69" s="433"/>
    </row>
    <row r="70" spans="1:89" ht="15">
      <c r="A70" s="37">
        <v>2078</v>
      </c>
      <c r="B70" s="115" t="s">
        <v>207</v>
      </c>
      <c r="C70" s="251">
        <v>841</v>
      </c>
      <c r="D70" s="254">
        <v>841</v>
      </c>
      <c r="E70" s="254">
        <v>0</v>
      </c>
      <c r="F70" s="254">
        <v>0</v>
      </c>
      <c r="G70" s="238">
        <v>0</v>
      </c>
      <c r="H70" s="254">
        <v>242.13625592417063</v>
      </c>
      <c r="I70" s="238">
        <v>0</v>
      </c>
      <c r="J70" s="254">
        <v>74.00000000000003</v>
      </c>
      <c r="K70" s="238">
        <v>283.99999999999994</v>
      </c>
      <c r="L70" s="254">
        <v>116.99999999999969</v>
      </c>
      <c r="M70" s="238">
        <v>207.00000000000037</v>
      </c>
      <c r="N70" s="254">
        <v>2.9999999999999996</v>
      </c>
      <c r="O70" s="238">
        <v>0</v>
      </c>
      <c r="P70" s="254">
        <v>0</v>
      </c>
      <c r="Q70" s="238">
        <v>0</v>
      </c>
      <c r="R70" s="254">
        <v>0</v>
      </c>
      <c r="S70" s="254">
        <v>0</v>
      </c>
      <c r="T70" s="238">
        <v>0</v>
      </c>
      <c r="U70" s="254">
        <v>0</v>
      </c>
      <c r="V70" s="238">
        <v>355.0364656381483</v>
      </c>
      <c r="W70" s="254">
        <v>0</v>
      </c>
      <c r="X70" s="248">
        <v>204.09939250179218</v>
      </c>
      <c r="Y70" s="248">
        <v>0</v>
      </c>
      <c r="Z70" s="248">
        <v>0</v>
      </c>
      <c r="AA70" s="241">
        <v>0</v>
      </c>
      <c r="AB70" s="58">
        <f t="shared" si="77"/>
        <v>2675653.27074651</v>
      </c>
      <c r="AC70" s="59">
        <f t="shared" si="78"/>
        <v>0</v>
      </c>
      <c r="AD70" s="59">
        <f t="shared" si="79"/>
        <v>0</v>
      </c>
      <c r="AE70" s="59">
        <f t="shared" si="80"/>
        <v>241613.24161137443</v>
      </c>
      <c r="AF70" s="59">
        <f t="shared" si="81"/>
        <v>0</v>
      </c>
      <c r="AG70" s="59">
        <f t="shared" si="82"/>
        <v>4817.4000000000015</v>
      </c>
      <c r="AH70" s="59">
        <f t="shared" si="83"/>
        <v>36976.79999999999</v>
      </c>
      <c r="AI70" s="59">
        <f t="shared" si="84"/>
        <v>22850.09999999994</v>
      </c>
      <c r="AJ70" s="59">
        <f t="shared" si="85"/>
        <v>53902.80000000009</v>
      </c>
      <c r="AK70" s="59">
        <f t="shared" si="86"/>
        <v>976.4999999999999</v>
      </c>
      <c r="AL70" s="59">
        <f t="shared" si="87"/>
        <v>0</v>
      </c>
      <c r="AM70" s="59">
        <f t="shared" si="88"/>
        <v>0</v>
      </c>
      <c r="AN70" s="59">
        <f t="shared" si="89"/>
        <v>0</v>
      </c>
      <c r="AO70" s="59">
        <f t="shared" si="90"/>
        <v>0</v>
      </c>
      <c r="AP70" s="59">
        <f t="shared" si="91"/>
        <v>0</v>
      </c>
      <c r="AQ70" s="59">
        <f t="shared" si="92"/>
        <v>0</v>
      </c>
      <c r="AR70" s="256">
        <f t="shared" si="93"/>
        <v>0</v>
      </c>
      <c r="AS70" s="245">
        <f t="shared" si="94"/>
        <v>262400.35102384264</v>
      </c>
      <c r="AT70" s="254">
        <f t="shared" si="95"/>
        <v>0</v>
      </c>
      <c r="AU70" s="236">
        <f t="shared" si="96"/>
        <v>224509.3317519714</v>
      </c>
      <c r="AV70" s="59">
        <f t="shared" si="97"/>
        <v>0</v>
      </c>
      <c r="AW70" s="59">
        <f t="shared" si="98"/>
        <v>0</v>
      </c>
      <c r="AX70" s="59">
        <f t="shared" si="99"/>
        <v>0</v>
      </c>
      <c r="AY70" s="256">
        <v>140000</v>
      </c>
      <c r="AZ70" s="258">
        <v>12300</v>
      </c>
      <c r="BA70" s="258">
        <v>2272.13</v>
      </c>
      <c r="BB70" s="236"/>
      <c r="BC70" s="59"/>
      <c r="BD70" s="60">
        <v>0</v>
      </c>
      <c r="BE70" s="58">
        <f t="shared" si="100"/>
        <v>2675653.27074651</v>
      </c>
      <c r="BF70" s="59">
        <f t="shared" si="101"/>
        <v>848046.5243871884</v>
      </c>
      <c r="BG70" s="59">
        <f t="shared" si="102"/>
        <v>154572.13</v>
      </c>
      <c r="BH70" s="60">
        <f t="shared" si="103"/>
        <v>224509.3317519714</v>
      </c>
      <c r="BI70" s="34">
        <f t="shared" si="104"/>
        <v>3678271.925133698</v>
      </c>
      <c r="BJ70" s="59">
        <f t="shared" si="105"/>
        <v>3678271.925133698</v>
      </c>
      <c r="BK70" s="60">
        <f t="shared" si="106"/>
        <v>0</v>
      </c>
      <c r="BL70" s="58">
        <f t="shared" si="107"/>
        <v>3523699.7951336983</v>
      </c>
      <c r="BM70" s="59">
        <v>4189.892577806716</v>
      </c>
      <c r="BN70" s="59">
        <v>4112.509655053507</v>
      </c>
      <c r="BO70" s="33">
        <f t="shared" si="108"/>
        <v>0.018816471994933692</v>
      </c>
      <c r="BP70" s="204">
        <f t="shared" si="109"/>
        <v>0</v>
      </c>
      <c r="BQ70" s="60">
        <f t="shared" si="110"/>
        <v>0</v>
      </c>
      <c r="BR70" s="205">
        <f t="shared" si="111"/>
        <v>3678271.925133698</v>
      </c>
      <c r="BS70" s="91">
        <v>0</v>
      </c>
      <c r="BT70" s="91"/>
      <c r="BU70" s="97">
        <f t="shared" si="112"/>
        <v>3678271.925133698</v>
      </c>
      <c r="BV70" s="10"/>
      <c r="BW70" s="116">
        <f>VLOOKUP(A70,'EYSFF Universal Hrs'!$A$159:$W$216,23,0)</f>
        <v>361983.91778522776</v>
      </c>
      <c r="BX70" s="385">
        <f>VLOOKUP(A70,'EYSFF Extended Hrs'!$A$115:$W$172,11,0)</f>
        <v>0</v>
      </c>
      <c r="BY70" s="23"/>
      <c r="BZ70" s="23"/>
      <c r="CA70" s="225">
        <f>VLOOKUP(A70,'Top Up SEN'!A:E,5,0)</f>
        <v>111476</v>
      </c>
      <c r="CB70" s="225">
        <f>VLOOKUP(A70,'2% threshold'!A:H,8,0)</f>
        <v>0</v>
      </c>
      <c r="CC70" s="212"/>
      <c r="CD70" s="433"/>
      <c r="CE70" s="433"/>
      <c r="CF70" s="433"/>
      <c r="CG70" s="433"/>
      <c r="CH70" s="433"/>
      <c r="CI70" s="433"/>
      <c r="CJ70" s="433"/>
      <c r="CK70" s="433"/>
    </row>
    <row r="71" spans="1:89" ht="15">
      <c r="A71" s="37">
        <v>2081</v>
      </c>
      <c r="B71" s="10" t="s">
        <v>28</v>
      </c>
      <c r="C71" s="251">
        <v>622</v>
      </c>
      <c r="D71" s="254">
        <v>622</v>
      </c>
      <c r="E71" s="254">
        <v>0</v>
      </c>
      <c r="F71" s="254">
        <v>0</v>
      </c>
      <c r="G71" s="238">
        <v>0</v>
      </c>
      <c r="H71" s="254">
        <v>119.1063829787234</v>
      </c>
      <c r="I71" s="238">
        <v>0</v>
      </c>
      <c r="J71" s="254">
        <v>161.00000000000028</v>
      </c>
      <c r="K71" s="238">
        <v>175.00000000000028</v>
      </c>
      <c r="L71" s="254">
        <v>99.0000000000002</v>
      </c>
      <c r="M71" s="238">
        <v>7.999999999999972</v>
      </c>
      <c r="N71" s="254">
        <v>0</v>
      </c>
      <c r="O71" s="238">
        <v>0</v>
      </c>
      <c r="P71" s="254">
        <v>0</v>
      </c>
      <c r="Q71" s="238">
        <v>0</v>
      </c>
      <c r="R71" s="254">
        <v>0</v>
      </c>
      <c r="S71" s="254">
        <v>0</v>
      </c>
      <c r="T71" s="238">
        <v>0</v>
      </c>
      <c r="U71" s="254">
        <v>0</v>
      </c>
      <c r="V71" s="238">
        <v>208.50470809792836</v>
      </c>
      <c r="W71" s="254">
        <v>0</v>
      </c>
      <c r="X71" s="248">
        <v>141.57555060320522</v>
      </c>
      <c r="Y71" s="248">
        <v>0</v>
      </c>
      <c r="Z71" s="248">
        <v>0</v>
      </c>
      <c r="AA71" s="241">
        <v>0</v>
      </c>
      <c r="AB71" s="58">
        <f t="shared" si="77"/>
        <v>1978901.7055937327</v>
      </c>
      <c r="AC71" s="59">
        <f t="shared" si="78"/>
        <v>0</v>
      </c>
      <c r="AD71" s="59">
        <f t="shared" si="79"/>
        <v>0</v>
      </c>
      <c r="AE71" s="59">
        <f t="shared" si="80"/>
        <v>118849.11319148936</v>
      </c>
      <c r="AF71" s="59">
        <f t="shared" si="81"/>
        <v>0</v>
      </c>
      <c r="AG71" s="59">
        <f t="shared" si="82"/>
        <v>10481.100000000017</v>
      </c>
      <c r="AH71" s="59">
        <f t="shared" si="83"/>
        <v>22785.000000000036</v>
      </c>
      <c r="AI71" s="59">
        <f t="shared" si="84"/>
        <v>19334.70000000004</v>
      </c>
      <c r="AJ71" s="59">
        <f t="shared" si="85"/>
        <v>2083.1999999999925</v>
      </c>
      <c r="AK71" s="59">
        <f t="shared" si="86"/>
        <v>0</v>
      </c>
      <c r="AL71" s="59">
        <f t="shared" si="87"/>
        <v>0</v>
      </c>
      <c r="AM71" s="59">
        <f t="shared" si="88"/>
        <v>0</v>
      </c>
      <c r="AN71" s="59">
        <f t="shared" si="89"/>
        <v>0</v>
      </c>
      <c r="AO71" s="59">
        <f t="shared" si="90"/>
        <v>0</v>
      </c>
      <c r="AP71" s="59">
        <f t="shared" si="91"/>
        <v>0</v>
      </c>
      <c r="AQ71" s="59">
        <f t="shared" si="92"/>
        <v>0</v>
      </c>
      <c r="AR71" s="256">
        <f t="shared" si="93"/>
        <v>0</v>
      </c>
      <c r="AS71" s="245">
        <f t="shared" si="94"/>
        <v>154101.6596610169</v>
      </c>
      <c r="AT71" s="254">
        <f t="shared" si="95"/>
        <v>0</v>
      </c>
      <c r="AU71" s="236">
        <f t="shared" si="96"/>
        <v>155733.10566352573</v>
      </c>
      <c r="AV71" s="59">
        <f t="shared" si="97"/>
        <v>0</v>
      </c>
      <c r="AW71" s="59">
        <f t="shared" si="98"/>
        <v>0</v>
      </c>
      <c r="AX71" s="59">
        <f t="shared" si="99"/>
        <v>0</v>
      </c>
      <c r="AY71" s="256">
        <v>140000</v>
      </c>
      <c r="AZ71" s="258">
        <v>11412.03</v>
      </c>
      <c r="BA71" s="258">
        <v>1892.039999999999</v>
      </c>
      <c r="BB71" s="236"/>
      <c r="BC71" s="59"/>
      <c r="BD71" s="60">
        <v>0</v>
      </c>
      <c r="BE71" s="58">
        <f t="shared" si="100"/>
        <v>1978901.7055937327</v>
      </c>
      <c r="BF71" s="59">
        <f t="shared" si="101"/>
        <v>483367.8785160321</v>
      </c>
      <c r="BG71" s="59">
        <f t="shared" si="102"/>
        <v>153304.07</v>
      </c>
      <c r="BH71" s="60">
        <f t="shared" si="103"/>
        <v>155733.10566352573</v>
      </c>
      <c r="BI71" s="34">
        <f t="shared" si="104"/>
        <v>2615573.6541097644</v>
      </c>
      <c r="BJ71" s="59">
        <f t="shared" si="105"/>
        <v>2615573.6541097644</v>
      </c>
      <c r="BK71" s="60">
        <f t="shared" si="106"/>
        <v>0</v>
      </c>
      <c r="BL71" s="58">
        <f t="shared" si="107"/>
        <v>2462269.5841097645</v>
      </c>
      <c r="BM71" s="59">
        <v>3958.6327635076605</v>
      </c>
      <c r="BN71" s="59">
        <v>3889.200712631579</v>
      </c>
      <c r="BO71" s="33">
        <f t="shared" si="108"/>
        <v>0.01785252446616499</v>
      </c>
      <c r="BP71" s="204">
        <f t="shared" si="109"/>
        <v>0</v>
      </c>
      <c r="BQ71" s="60">
        <f t="shared" si="110"/>
        <v>0</v>
      </c>
      <c r="BR71" s="205">
        <f t="shared" si="111"/>
        <v>2615573.6541097644</v>
      </c>
      <c r="BS71" s="91">
        <v>0</v>
      </c>
      <c r="BT71" s="91"/>
      <c r="BU71" s="97">
        <f t="shared" si="112"/>
        <v>2615573.6541097644</v>
      </c>
      <c r="BV71" s="10"/>
      <c r="BW71" s="116">
        <f>VLOOKUP(A71,'EYSFF Universal Hrs'!$A$159:$W$216,23,0)</f>
        <v>190481.26147353722</v>
      </c>
      <c r="BX71" s="385">
        <f>VLOOKUP(A71,'EYSFF Extended Hrs'!$A$115:$W$172,11,0)</f>
        <v>43447.29821450912</v>
      </c>
      <c r="BY71" s="23">
        <v>63160</v>
      </c>
      <c r="BZ71" s="23">
        <v>43865</v>
      </c>
      <c r="CA71" s="225">
        <f>VLOOKUP(A71,'Top Up SEN'!A:E,5,0)</f>
        <v>92500</v>
      </c>
      <c r="CB71" s="225">
        <f>VLOOKUP(A71,'2% threshold'!A:H,8,0)</f>
        <v>6000</v>
      </c>
      <c r="CC71" s="212"/>
      <c r="CD71" s="433"/>
      <c r="CE71" s="433"/>
      <c r="CF71" s="433"/>
      <c r="CG71" s="433"/>
      <c r="CH71" s="433"/>
      <c r="CI71" s="433"/>
      <c r="CJ71" s="433"/>
      <c r="CK71" s="433"/>
    </row>
    <row r="72" spans="1:89" ht="15">
      <c r="A72" s="37">
        <v>2082</v>
      </c>
      <c r="B72" s="10" t="s">
        <v>44</v>
      </c>
      <c r="C72" s="251">
        <v>933</v>
      </c>
      <c r="D72" s="254">
        <v>933</v>
      </c>
      <c r="E72" s="254">
        <v>0</v>
      </c>
      <c r="F72" s="254">
        <v>0</v>
      </c>
      <c r="G72" s="238">
        <v>0</v>
      </c>
      <c r="H72" s="254">
        <v>278.447665056361</v>
      </c>
      <c r="I72" s="238">
        <v>0</v>
      </c>
      <c r="J72" s="254">
        <v>140.99999999999957</v>
      </c>
      <c r="K72" s="238">
        <v>324.99999999999966</v>
      </c>
      <c r="L72" s="254">
        <v>403.99999999999983</v>
      </c>
      <c r="M72" s="238">
        <v>11.999999999999957</v>
      </c>
      <c r="N72" s="254">
        <v>2.000000000000002</v>
      </c>
      <c r="O72" s="238">
        <v>0</v>
      </c>
      <c r="P72" s="254">
        <v>0</v>
      </c>
      <c r="Q72" s="238">
        <v>0</v>
      </c>
      <c r="R72" s="254">
        <v>0</v>
      </c>
      <c r="S72" s="254">
        <v>0</v>
      </c>
      <c r="T72" s="238">
        <v>0</v>
      </c>
      <c r="U72" s="254">
        <v>0</v>
      </c>
      <c r="V72" s="238">
        <v>356.02822085889585</v>
      </c>
      <c r="W72" s="254">
        <v>0</v>
      </c>
      <c r="X72" s="248">
        <v>188.00146978364324</v>
      </c>
      <c r="Y72" s="248">
        <v>0</v>
      </c>
      <c r="Z72" s="248">
        <v>29.70000000000024</v>
      </c>
      <c r="AA72" s="241">
        <v>0</v>
      </c>
      <c r="AB72" s="58">
        <f t="shared" si="77"/>
        <v>2968352.558390599</v>
      </c>
      <c r="AC72" s="59">
        <f t="shared" si="78"/>
        <v>0</v>
      </c>
      <c r="AD72" s="59">
        <f t="shared" si="79"/>
        <v>0</v>
      </c>
      <c r="AE72" s="59">
        <f t="shared" si="80"/>
        <v>277846.2180998393</v>
      </c>
      <c r="AF72" s="59">
        <f t="shared" si="81"/>
        <v>0</v>
      </c>
      <c r="AG72" s="59">
        <f t="shared" si="82"/>
        <v>9179.099999999971</v>
      </c>
      <c r="AH72" s="59">
        <f t="shared" si="83"/>
        <v>42314.99999999995</v>
      </c>
      <c r="AI72" s="59">
        <f t="shared" si="84"/>
        <v>78901.19999999997</v>
      </c>
      <c r="AJ72" s="59">
        <f t="shared" si="85"/>
        <v>3124.799999999989</v>
      </c>
      <c r="AK72" s="59">
        <f t="shared" si="86"/>
        <v>651.0000000000007</v>
      </c>
      <c r="AL72" s="59">
        <f t="shared" si="87"/>
        <v>0</v>
      </c>
      <c r="AM72" s="59">
        <f t="shared" si="88"/>
        <v>0</v>
      </c>
      <c r="AN72" s="59">
        <f t="shared" si="89"/>
        <v>0</v>
      </c>
      <c r="AO72" s="59">
        <f t="shared" si="90"/>
        <v>0</v>
      </c>
      <c r="AP72" s="59">
        <f t="shared" si="91"/>
        <v>0</v>
      </c>
      <c r="AQ72" s="59">
        <f t="shared" si="92"/>
        <v>0</v>
      </c>
      <c r="AR72" s="256">
        <f t="shared" si="93"/>
        <v>0</v>
      </c>
      <c r="AS72" s="245">
        <f t="shared" si="94"/>
        <v>263133.33747239277</v>
      </c>
      <c r="AT72" s="254">
        <f t="shared" si="95"/>
        <v>0</v>
      </c>
      <c r="AU72" s="236">
        <f t="shared" si="96"/>
        <v>206801.61676200756</v>
      </c>
      <c r="AV72" s="59">
        <f t="shared" si="97"/>
        <v>0</v>
      </c>
      <c r="AW72" s="59">
        <f t="shared" si="98"/>
        <v>23760.000000000193</v>
      </c>
      <c r="AX72" s="59">
        <f t="shared" si="99"/>
        <v>0</v>
      </c>
      <c r="AY72" s="256">
        <v>140000</v>
      </c>
      <c r="AZ72" s="258">
        <v>16200</v>
      </c>
      <c r="BA72" s="258">
        <v>1182.74</v>
      </c>
      <c r="BB72" s="236"/>
      <c r="BC72" s="59"/>
      <c r="BD72" s="60">
        <v>0</v>
      </c>
      <c r="BE72" s="58">
        <f t="shared" si="100"/>
        <v>2968352.558390599</v>
      </c>
      <c r="BF72" s="59">
        <f t="shared" si="101"/>
        <v>905712.2723342397</v>
      </c>
      <c r="BG72" s="59">
        <f t="shared" si="102"/>
        <v>157382.74</v>
      </c>
      <c r="BH72" s="60">
        <f t="shared" si="103"/>
        <v>206801.61676200756</v>
      </c>
      <c r="BI72" s="34">
        <f t="shared" si="104"/>
        <v>4031447.5707248393</v>
      </c>
      <c r="BJ72" s="59">
        <f t="shared" si="105"/>
        <v>4031447.5707248393</v>
      </c>
      <c r="BK72" s="60">
        <f t="shared" si="106"/>
        <v>0</v>
      </c>
      <c r="BL72" s="58">
        <f t="shared" si="107"/>
        <v>3874064.830724839</v>
      </c>
      <c r="BM72" s="59">
        <v>4152.266689480535</v>
      </c>
      <c r="BN72" s="59">
        <v>4073.0980709364903</v>
      </c>
      <c r="BO72" s="33">
        <f t="shared" si="108"/>
        <v>0.01943695368126561</v>
      </c>
      <c r="BP72" s="204">
        <f t="shared" si="109"/>
        <v>0</v>
      </c>
      <c r="BQ72" s="60">
        <f t="shared" si="110"/>
        <v>0</v>
      </c>
      <c r="BR72" s="205">
        <f t="shared" si="111"/>
        <v>4031447.5707248393</v>
      </c>
      <c r="BS72" s="91">
        <v>0</v>
      </c>
      <c r="BT72" s="91"/>
      <c r="BU72" s="97">
        <f t="shared" si="112"/>
        <v>4031447.5707248393</v>
      </c>
      <c r="BV72" s="10"/>
      <c r="BW72" s="116">
        <f>VLOOKUP(A72,'EYSFF Universal Hrs'!$A$159:$W$216,23,0)</f>
        <v>182425.9695411155</v>
      </c>
      <c r="BX72" s="385">
        <f>VLOOKUP(A72,'EYSFF Extended Hrs'!$A$115:$W$172,11,0)</f>
        <v>0</v>
      </c>
      <c r="BY72" s="23"/>
      <c r="BZ72" s="23">
        <v>43865</v>
      </c>
      <c r="CA72" s="225">
        <f>VLOOKUP(A72,'Top Up SEN'!A:E,5,0)</f>
        <v>104351</v>
      </c>
      <c r="CB72" s="225">
        <f>VLOOKUP(A72,'2% threshold'!A:H,8,0)</f>
        <v>0</v>
      </c>
      <c r="CC72" s="212"/>
      <c r="CD72" s="433"/>
      <c r="CE72" s="433"/>
      <c r="CF72" s="433"/>
      <c r="CG72" s="433"/>
      <c r="CH72" s="433"/>
      <c r="CI72" s="433"/>
      <c r="CJ72" s="433"/>
      <c r="CK72" s="433"/>
    </row>
    <row r="73" spans="1:89" ht="15">
      <c r="A73" s="37">
        <v>3306</v>
      </c>
      <c r="B73" s="115" t="s">
        <v>129</v>
      </c>
      <c r="C73" s="251">
        <v>410</v>
      </c>
      <c r="D73" s="254">
        <v>410</v>
      </c>
      <c r="E73" s="254">
        <v>0</v>
      </c>
      <c r="F73" s="254">
        <v>0</v>
      </c>
      <c r="G73" s="238">
        <v>0</v>
      </c>
      <c r="H73" s="254">
        <v>87.29665071770334</v>
      </c>
      <c r="I73" s="238">
        <v>0</v>
      </c>
      <c r="J73" s="254">
        <v>45.000000000000156</v>
      </c>
      <c r="K73" s="238">
        <v>145.00000000000006</v>
      </c>
      <c r="L73" s="254">
        <v>105.0000000000001</v>
      </c>
      <c r="M73" s="238">
        <v>49.99999999999995</v>
      </c>
      <c r="N73" s="254">
        <v>9.999999999999991</v>
      </c>
      <c r="O73" s="238">
        <v>0</v>
      </c>
      <c r="P73" s="254">
        <v>0</v>
      </c>
      <c r="Q73" s="238">
        <v>0</v>
      </c>
      <c r="R73" s="254">
        <v>0</v>
      </c>
      <c r="S73" s="254">
        <v>0</v>
      </c>
      <c r="T73" s="238">
        <v>0</v>
      </c>
      <c r="U73" s="254">
        <v>0</v>
      </c>
      <c r="V73" s="238">
        <v>103.1065088757395</v>
      </c>
      <c r="W73" s="254">
        <v>0</v>
      </c>
      <c r="X73" s="248">
        <v>64.87266831187151</v>
      </c>
      <c r="Y73" s="248">
        <v>0</v>
      </c>
      <c r="Z73" s="248">
        <v>3.0000000000001164</v>
      </c>
      <c r="AA73" s="241">
        <v>0</v>
      </c>
      <c r="AB73" s="58">
        <f t="shared" si="77"/>
        <v>1304420.7384138752</v>
      </c>
      <c r="AC73" s="59">
        <f t="shared" si="78"/>
        <v>0</v>
      </c>
      <c r="AD73" s="59">
        <f t="shared" si="79"/>
        <v>0</v>
      </c>
      <c r="AE73" s="59">
        <f t="shared" si="80"/>
        <v>87108.08995215311</v>
      </c>
      <c r="AF73" s="59">
        <f t="shared" si="81"/>
        <v>0</v>
      </c>
      <c r="AG73" s="59">
        <f t="shared" si="82"/>
        <v>2929.50000000001</v>
      </c>
      <c r="AH73" s="59">
        <f t="shared" si="83"/>
        <v>18879.000000000007</v>
      </c>
      <c r="AI73" s="59">
        <f t="shared" si="84"/>
        <v>20506.500000000022</v>
      </c>
      <c r="AJ73" s="59">
        <f t="shared" si="85"/>
        <v>13019.999999999985</v>
      </c>
      <c r="AK73" s="59">
        <f t="shared" si="86"/>
        <v>3254.9999999999973</v>
      </c>
      <c r="AL73" s="59">
        <f t="shared" si="87"/>
        <v>0</v>
      </c>
      <c r="AM73" s="59">
        <f t="shared" si="88"/>
        <v>0</v>
      </c>
      <c r="AN73" s="59">
        <f t="shared" si="89"/>
        <v>0</v>
      </c>
      <c r="AO73" s="59">
        <f t="shared" si="90"/>
        <v>0</v>
      </c>
      <c r="AP73" s="59">
        <f t="shared" si="91"/>
        <v>0</v>
      </c>
      <c r="AQ73" s="59">
        <f t="shared" si="92"/>
        <v>0</v>
      </c>
      <c r="AR73" s="256">
        <f t="shared" si="93"/>
        <v>0</v>
      </c>
      <c r="AS73" s="245">
        <f t="shared" si="94"/>
        <v>76203.95857988155</v>
      </c>
      <c r="AT73" s="254">
        <f t="shared" si="95"/>
        <v>0</v>
      </c>
      <c r="AU73" s="236">
        <f t="shared" si="96"/>
        <v>71359.93514305865</v>
      </c>
      <c r="AV73" s="59">
        <f t="shared" si="97"/>
        <v>0</v>
      </c>
      <c r="AW73" s="59">
        <f t="shared" si="98"/>
        <v>2400.000000000093</v>
      </c>
      <c r="AX73" s="59">
        <f t="shared" si="99"/>
        <v>0</v>
      </c>
      <c r="AY73" s="256">
        <v>140000</v>
      </c>
      <c r="AZ73" s="258">
        <v>5328</v>
      </c>
      <c r="BA73" s="258">
        <v>780.9</v>
      </c>
      <c r="BB73" s="236"/>
      <c r="BC73" s="59"/>
      <c r="BD73" s="60">
        <v>0</v>
      </c>
      <c r="BE73" s="58">
        <f t="shared" si="100"/>
        <v>1304420.7384138752</v>
      </c>
      <c r="BF73" s="59">
        <f t="shared" si="101"/>
        <v>295661.9836750935</v>
      </c>
      <c r="BG73" s="59">
        <f t="shared" si="102"/>
        <v>146108.9</v>
      </c>
      <c r="BH73" s="60">
        <f t="shared" si="103"/>
        <v>71359.93514305865</v>
      </c>
      <c r="BI73" s="34">
        <f t="shared" si="104"/>
        <v>1746191.6220889688</v>
      </c>
      <c r="BJ73" s="59">
        <f t="shared" si="105"/>
        <v>1746191.6220889688</v>
      </c>
      <c r="BK73" s="60">
        <f t="shared" si="106"/>
        <v>0</v>
      </c>
      <c r="BL73" s="58">
        <f t="shared" si="107"/>
        <v>1600082.7220889688</v>
      </c>
      <c r="BM73" s="59">
        <v>3902.640686345046</v>
      </c>
      <c r="BN73" s="59">
        <v>3828.5364230582522</v>
      </c>
      <c r="BO73" s="33">
        <f t="shared" si="108"/>
        <v>0.01935576813125864</v>
      </c>
      <c r="BP73" s="204">
        <f t="shared" si="109"/>
        <v>0</v>
      </c>
      <c r="BQ73" s="60">
        <f t="shared" si="110"/>
        <v>0</v>
      </c>
      <c r="BR73" s="205">
        <f t="shared" si="111"/>
        <v>1746191.6220889688</v>
      </c>
      <c r="BS73" s="91">
        <v>0</v>
      </c>
      <c r="BT73" s="91"/>
      <c r="BU73" s="97">
        <f t="shared" si="112"/>
        <v>1746191.6220889688</v>
      </c>
      <c r="BV73" s="10"/>
      <c r="BW73" s="116">
        <f>VLOOKUP(A73,'EYSFF Universal Hrs'!$A$159:$W$216,23,0)</f>
        <v>155865.83971572368</v>
      </c>
      <c r="BX73" s="385">
        <f>VLOOKUP(A73,'EYSFF Extended Hrs'!$A$115:$W$172,11,0)</f>
        <v>0</v>
      </c>
      <c r="BY73" s="23"/>
      <c r="BZ73" s="23"/>
      <c r="CA73" s="225">
        <f>VLOOKUP(A73,'Top Up SEN'!A:E,5,0)</f>
        <v>40984</v>
      </c>
      <c r="CB73" s="225">
        <f>VLOOKUP(A73,'2% threshold'!A:H,8,0)</f>
        <v>0</v>
      </c>
      <c r="CC73" s="212"/>
      <c r="CD73" s="433"/>
      <c r="CE73" s="433"/>
      <c r="CF73" s="433"/>
      <c r="CG73" s="433"/>
      <c r="CH73" s="433"/>
      <c r="CI73" s="433"/>
      <c r="CJ73" s="433"/>
      <c r="CK73" s="433"/>
    </row>
    <row r="74" spans="1:89" ht="15">
      <c r="A74" s="37">
        <v>3410</v>
      </c>
      <c r="B74" s="10" t="s">
        <v>128</v>
      </c>
      <c r="C74" s="251">
        <v>404</v>
      </c>
      <c r="D74" s="254">
        <v>404</v>
      </c>
      <c r="E74" s="254">
        <v>0</v>
      </c>
      <c r="F74" s="254">
        <v>0</v>
      </c>
      <c r="G74" s="238">
        <v>0</v>
      </c>
      <c r="H74" s="254">
        <v>135.31801692865787</v>
      </c>
      <c r="I74" s="238">
        <v>0</v>
      </c>
      <c r="J74" s="254">
        <v>98.00000000000017</v>
      </c>
      <c r="K74" s="238">
        <v>210.9999999999999</v>
      </c>
      <c r="L74" s="254">
        <v>34.999999999999986</v>
      </c>
      <c r="M74" s="238">
        <v>6.999999999999989</v>
      </c>
      <c r="N74" s="254">
        <v>1.000000000000002</v>
      </c>
      <c r="O74" s="238">
        <v>0</v>
      </c>
      <c r="P74" s="254">
        <v>0</v>
      </c>
      <c r="Q74" s="238">
        <v>0</v>
      </c>
      <c r="R74" s="254">
        <v>0</v>
      </c>
      <c r="S74" s="254">
        <v>0</v>
      </c>
      <c r="T74" s="238">
        <v>0</v>
      </c>
      <c r="U74" s="254">
        <v>0</v>
      </c>
      <c r="V74" s="238">
        <v>68.11627906976756</v>
      </c>
      <c r="W74" s="254">
        <v>0</v>
      </c>
      <c r="X74" s="248">
        <v>78.65998919478639</v>
      </c>
      <c r="Y74" s="248">
        <v>0</v>
      </c>
      <c r="Z74" s="248">
        <v>5.600000000000056</v>
      </c>
      <c r="AA74" s="241">
        <v>0</v>
      </c>
      <c r="AB74" s="58">
        <f t="shared" si="77"/>
        <v>1285331.6544370868</v>
      </c>
      <c r="AC74" s="59">
        <f t="shared" si="78"/>
        <v>0</v>
      </c>
      <c r="AD74" s="59">
        <f t="shared" si="79"/>
        <v>0</v>
      </c>
      <c r="AE74" s="59">
        <f t="shared" si="80"/>
        <v>135025.73001209198</v>
      </c>
      <c r="AF74" s="59">
        <f t="shared" si="81"/>
        <v>0</v>
      </c>
      <c r="AG74" s="59">
        <f t="shared" si="82"/>
        <v>6379.80000000001</v>
      </c>
      <c r="AH74" s="59">
        <f t="shared" si="83"/>
        <v>27472.199999999983</v>
      </c>
      <c r="AI74" s="59">
        <f t="shared" si="84"/>
        <v>6835.499999999997</v>
      </c>
      <c r="AJ74" s="59">
        <f t="shared" si="85"/>
        <v>1822.799999999997</v>
      </c>
      <c r="AK74" s="59">
        <f t="shared" si="86"/>
        <v>325.5000000000006</v>
      </c>
      <c r="AL74" s="59">
        <f t="shared" si="87"/>
        <v>0</v>
      </c>
      <c r="AM74" s="59">
        <f t="shared" si="88"/>
        <v>0</v>
      </c>
      <c r="AN74" s="59">
        <f t="shared" si="89"/>
        <v>0</v>
      </c>
      <c r="AO74" s="59">
        <f t="shared" si="90"/>
        <v>0</v>
      </c>
      <c r="AP74" s="59">
        <f t="shared" si="91"/>
        <v>0</v>
      </c>
      <c r="AQ74" s="59">
        <f t="shared" si="92"/>
        <v>0</v>
      </c>
      <c r="AR74" s="256">
        <f t="shared" si="93"/>
        <v>0</v>
      </c>
      <c r="AS74" s="245">
        <f t="shared" si="94"/>
        <v>50343.37953488381</v>
      </c>
      <c r="AT74" s="254">
        <f t="shared" si="95"/>
        <v>0</v>
      </c>
      <c r="AU74" s="236">
        <f t="shared" si="96"/>
        <v>86525.98811426503</v>
      </c>
      <c r="AV74" s="59">
        <f t="shared" si="97"/>
        <v>0</v>
      </c>
      <c r="AW74" s="59">
        <f t="shared" si="98"/>
        <v>4480.000000000045</v>
      </c>
      <c r="AX74" s="59">
        <f t="shared" si="99"/>
        <v>0</v>
      </c>
      <c r="AY74" s="256">
        <v>140000</v>
      </c>
      <c r="AZ74" s="258">
        <v>9550</v>
      </c>
      <c r="BA74" s="258">
        <v>-978.88</v>
      </c>
      <c r="BB74" s="236"/>
      <c r="BC74" s="59"/>
      <c r="BD74" s="60">
        <v>0</v>
      </c>
      <c r="BE74" s="58">
        <f t="shared" si="100"/>
        <v>1285331.6544370868</v>
      </c>
      <c r="BF74" s="59">
        <f t="shared" si="101"/>
        <v>319210.89766124083</v>
      </c>
      <c r="BG74" s="59">
        <f t="shared" si="102"/>
        <v>148571.12</v>
      </c>
      <c r="BH74" s="60">
        <f t="shared" si="103"/>
        <v>86525.98811426503</v>
      </c>
      <c r="BI74" s="34">
        <f t="shared" si="104"/>
        <v>1753113.6720983274</v>
      </c>
      <c r="BJ74" s="59">
        <f t="shared" si="105"/>
        <v>1753113.6720983274</v>
      </c>
      <c r="BK74" s="60">
        <f t="shared" si="106"/>
        <v>0</v>
      </c>
      <c r="BL74" s="58">
        <f t="shared" si="107"/>
        <v>1604542.5520983273</v>
      </c>
      <c r="BM74" s="59">
        <v>3971.6399671474696</v>
      </c>
      <c r="BN74" s="59">
        <v>4104.202062009804</v>
      </c>
      <c r="BO74" s="33">
        <f t="shared" si="108"/>
        <v>-0.03229911511652504</v>
      </c>
      <c r="BP74" s="204">
        <f t="shared" si="109"/>
        <v>0.017299115116525043</v>
      </c>
      <c r="BQ74" s="60">
        <f t="shared" si="110"/>
        <v>28683.62182860357</v>
      </c>
      <c r="BR74" s="205">
        <f t="shared" si="111"/>
        <v>1781797.293926931</v>
      </c>
      <c r="BS74" s="91">
        <v>0</v>
      </c>
      <c r="BT74" s="91"/>
      <c r="BU74" s="97">
        <f t="shared" si="112"/>
        <v>1781797.293926931</v>
      </c>
      <c r="BV74" s="10"/>
      <c r="BW74" s="116">
        <f>VLOOKUP(A74,'EYSFF Universal Hrs'!$A$159:$W$216,23,0)</f>
        <v>141080.54437795214</v>
      </c>
      <c r="BX74" s="385">
        <f>VLOOKUP(A74,'EYSFF Extended Hrs'!$A$115:$W$172,11,0)</f>
        <v>0</v>
      </c>
      <c r="BY74" s="23"/>
      <c r="BZ74" s="23"/>
      <c r="CA74" s="225">
        <f>VLOOKUP(A74,'Top Up SEN'!A:E,5,0)</f>
        <v>32109</v>
      </c>
      <c r="CB74" s="225">
        <f>VLOOKUP(A74,'2% threshold'!A:H,8,0)</f>
        <v>0</v>
      </c>
      <c r="CC74" s="212"/>
      <c r="CD74" s="433"/>
      <c r="CE74" s="433"/>
      <c r="CF74" s="433"/>
      <c r="CG74" s="433"/>
      <c r="CH74" s="433"/>
      <c r="CI74" s="433"/>
      <c r="CJ74" s="433"/>
      <c r="CK74" s="433"/>
    </row>
    <row r="75" spans="1:89" ht="15">
      <c r="A75" s="37">
        <v>5206</v>
      </c>
      <c r="B75" s="115" t="s">
        <v>42</v>
      </c>
      <c r="C75" s="251">
        <v>529</v>
      </c>
      <c r="D75" s="254">
        <v>529</v>
      </c>
      <c r="E75" s="254">
        <v>0</v>
      </c>
      <c r="F75" s="254">
        <v>0</v>
      </c>
      <c r="G75" s="238">
        <v>0</v>
      </c>
      <c r="H75" s="254">
        <v>168.046992481203</v>
      </c>
      <c r="I75" s="238">
        <v>0</v>
      </c>
      <c r="J75" s="254">
        <v>228.9999999999999</v>
      </c>
      <c r="K75" s="238">
        <v>73.99999999999976</v>
      </c>
      <c r="L75" s="254">
        <v>116.99999999999999</v>
      </c>
      <c r="M75" s="238">
        <v>22.000000000000025</v>
      </c>
      <c r="N75" s="254">
        <v>10.999999999999986</v>
      </c>
      <c r="O75" s="238">
        <v>0</v>
      </c>
      <c r="P75" s="254">
        <v>0</v>
      </c>
      <c r="Q75" s="238">
        <v>0</v>
      </c>
      <c r="R75" s="254">
        <v>0</v>
      </c>
      <c r="S75" s="254">
        <v>0</v>
      </c>
      <c r="T75" s="238">
        <v>0</v>
      </c>
      <c r="U75" s="254">
        <v>0</v>
      </c>
      <c r="V75" s="238">
        <v>131.10000000000014</v>
      </c>
      <c r="W75" s="254">
        <v>0</v>
      </c>
      <c r="X75" s="248">
        <v>98.34715570456942</v>
      </c>
      <c r="Y75" s="248">
        <v>0</v>
      </c>
      <c r="Z75" s="248">
        <v>10.10000000000007</v>
      </c>
      <c r="AA75" s="241">
        <v>0</v>
      </c>
      <c r="AB75" s="58">
        <f t="shared" si="77"/>
        <v>1683020.9039535122</v>
      </c>
      <c r="AC75" s="59">
        <f t="shared" si="78"/>
        <v>0</v>
      </c>
      <c r="AD75" s="59">
        <f t="shared" si="79"/>
        <v>0</v>
      </c>
      <c r="AE75" s="59">
        <f t="shared" si="80"/>
        <v>167684.0109774436</v>
      </c>
      <c r="AF75" s="59">
        <f t="shared" si="81"/>
        <v>0</v>
      </c>
      <c r="AG75" s="59">
        <f t="shared" si="82"/>
        <v>14907.89999999999</v>
      </c>
      <c r="AH75" s="59">
        <f t="shared" si="83"/>
        <v>9634.799999999968</v>
      </c>
      <c r="AI75" s="59">
        <f t="shared" si="84"/>
        <v>22850.1</v>
      </c>
      <c r="AJ75" s="59">
        <f t="shared" si="85"/>
        <v>5728.800000000006</v>
      </c>
      <c r="AK75" s="59">
        <f t="shared" si="86"/>
        <v>3580.4999999999955</v>
      </c>
      <c r="AL75" s="59">
        <f t="shared" si="87"/>
        <v>0</v>
      </c>
      <c r="AM75" s="59">
        <f t="shared" si="88"/>
        <v>0</v>
      </c>
      <c r="AN75" s="59">
        <f t="shared" si="89"/>
        <v>0</v>
      </c>
      <c r="AO75" s="59">
        <f t="shared" si="90"/>
        <v>0</v>
      </c>
      <c r="AP75" s="59">
        <f t="shared" si="91"/>
        <v>0</v>
      </c>
      <c r="AQ75" s="59">
        <f t="shared" si="92"/>
        <v>0</v>
      </c>
      <c r="AR75" s="256">
        <f t="shared" si="93"/>
        <v>0</v>
      </c>
      <c r="AS75" s="245">
        <f t="shared" si="94"/>
        <v>96893.38800000011</v>
      </c>
      <c r="AT75" s="254">
        <f t="shared" si="95"/>
        <v>0</v>
      </c>
      <c r="AU75" s="236">
        <f t="shared" si="96"/>
        <v>108181.87127502637</v>
      </c>
      <c r="AV75" s="59">
        <f t="shared" si="97"/>
        <v>0</v>
      </c>
      <c r="AW75" s="59">
        <f t="shared" si="98"/>
        <v>8080.000000000056</v>
      </c>
      <c r="AX75" s="59">
        <f t="shared" si="99"/>
        <v>0</v>
      </c>
      <c r="AY75" s="256">
        <v>140000</v>
      </c>
      <c r="AZ75" s="258">
        <v>12600</v>
      </c>
      <c r="BA75" s="258">
        <v>-3688.7499999999995</v>
      </c>
      <c r="BB75" s="236"/>
      <c r="BC75" s="59"/>
      <c r="BD75" s="60">
        <v>0</v>
      </c>
      <c r="BE75" s="58">
        <f t="shared" si="100"/>
        <v>1683020.9039535122</v>
      </c>
      <c r="BF75" s="59">
        <f t="shared" si="101"/>
        <v>437541.3702524701</v>
      </c>
      <c r="BG75" s="59">
        <f t="shared" si="102"/>
        <v>148911.25</v>
      </c>
      <c r="BH75" s="60">
        <f t="shared" si="103"/>
        <v>108181.87127502637</v>
      </c>
      <c r="BI75" s="34">
        <f t="shared" si="104"/>
        <v>2269473.524205982</v>
      </c>
      <c r="BJ75" s="59">
        <f t="shared" si="105"/>
        <v>2269473.524205982</v>
      </c>
      <c r="BK75" s="60">
        <f t="shared" si="106"/>
        <v>0</v>
      </c>
      <c r="BL75" s="58">
        <f t="shared" si="107"/>
        <v>2120562.274205982</v>
      </c>
      <c r="BM75" s="59">
        <v>4008.6242928785105</v>
      </c>
      <c r="BN75" s="59">
        <v>3922.580298903108</v>
      </c>
      <c r="BO75" s="33">
        <f t="shared" si="108"/>
        <v>0.021935559610969164</v>
      </c>
      <c r="BP75" s="204">
        <f t="shared" si="109"/>
        <v>0</v>
      </c>
      <c r="BQ75" s="60">
        <f t="shared" si="110"/>
        <v>0</v>
      </c>
      <c r="BR75" s="205">
        <f t="shared" si="111"/>
        <v>2269473.524205982</v>
      </c>
      <c r="BS75" s="91">
        <v>0</v>
      </c>
      <c r="BT75" s="91"/>
      <c r="BU75" s="97">
        <f t="shared" si="112"/>
        <v>2269473.524205982</v>
      </c>
      <c r="BV75" s="10"/>
      <c r="BW75" s="116">
        <f>VLOOKUP(A75,'EYSFF Universal Hrs'!$A$159:$W$216,23,0)</f>
        <v>221414.24965518687</v>
      </c>
      <c r="BX75" s="385">
        <f>VLOOKUP(A75,'EYSFF Extended Hrs'!$A$115:$W$172,11,0)</f>
        <v>38822.15167364548</v>
      </c>
      <c r="BY75" s="23"/>
      <c r="BZ75" s="23"/>
      <c r="CA75" s="225">
        <f>VLOOKUP(A75,'Top Up SEN'!A:E,5,0)</f>
        <v>102709</v>
      </c>
      <c r="CB75" s="225">
        <f>VLOOKUP(A75,'2% threshold'!A:H,8,0)</f>
        <v>30000</v>
      </c>
      <c r="CC75" s="212"/>
      <c r="CD75" s="433"/>
      <c r="CE75" s="433"/>
      <c r="CF75" s="433"/>
      <c r="CG75" s="433"/>
      <c r="CH75" s="433"/>
      <c r="CI75" s="433"/>
      <c r="CJ75" s="433"/>
      <c r="CK75" s="433"/>
    </row>
    <row r="76" spans="1:89" ht="15">
      <c r="A76" s="37">
        <v>4000</v>
      </c>
      <c r="B76" s="115" t="s">
        <v>139</v>
      </c>
      <c r="C76" s="251">
        <v>64</v>
      </c>
      <c r="D76" s="254">
        <v>0</v>
      </c>
      <c r="E76" s="254">
        <v>64</v>
      </c>
      <c r="F76" s="254">
        <v>23</v>
      </c>
      <c r="G76" s="238">
        <v>41</v>
      </c>
      <c r="H76" s="254">
        <v>0</v>
      </c>
      <c r="I76" s="238">
        <v>33.93939393939394</v>
      </c>
      <c r="J76" s="254">
        <v>0</v>
      </c>
      <c r="K76" s="238">
        <v>0</v>
      </c>
      <c r="L76" s="254">
        <v>0</v>
      </c>
      <c r="M76" s="238">
        <v>0</v>
      </c>
      <c r="N76" s="254">
        <v>0</v>
      </c>
      <c r="O76" s="238">
        <v>0</v>
      </c>
      <c r="P76" s="254">
        <v>16</v>
      </c>
      <c r="Q76" s="238">
        <v>17</v>
      </c>
      <c r="R76" s="254">
        <v>15</v>
      </c>
      <c r="S76" s="254">
        <v>2</v>
      </c>
      <c r="T76" s="238">
        <v>4</v>
      </c>
      <c r="U76" s="254">
        <v>0</v>
      </c>
      <c r="V76" s="238">
        <v>0</v>
      </c>
      <c r="W76" s="254">
        <v>5</v>
      </c>
      <c r="X76" s="248">
        <v>0</v>
      </c>
      <c r="Y76" s="248">
        <v>31.418181818181825</v>
      </c>
      <c r="Z76" s="248">
        <v>0</v>
      </c>
      <c r="AA76" s="241">
        <v>0</v>
      </c>
      <c r="AB76" s="58">
        <f t="shared" si="77"/>
        <v>0</v>
      </c>
      <c r="AC76" s="59">
        <f t="shared" si="78"/>
        <v>94882.80245372234</v>
      </c>
      <c r="AD76" s="59">
        <f t="shared" si="79"/>
        <v>193301.4893959526</v>
      </c>
      <c r="AE76" s="59">
        <f t="shared" si="80"/>
        <v>0</v>
      </c>
      <c r="AF76" s="59">
        <f t="shared" si="81"/>
        <v>44025.163636363635</v>
      </c>
      <c r="AG76" s="59">
        <f t="shared" si="82"/>
        <v>0</v>
      </c>
      <c r="AH76" s="59">
        <f t="shared" si="83"/>
        <v>0</v>
      </c>
      <c r="AI76" s="59">
        <f t="shared" si="84"/>
        <v>0</v>
      </c>
      <c r="AJ76" s="59">
        <f t="shared" si="85"/>
        <v>0</v>
      </c>
      <c r="AK76" s="59">
        <f t="shared" si="86"/>
        <v>0</v>
      </c>
      <c r="AL76" s="59">
        <f t="shared" si="87"/>
        <v>0</v>
      </c>
      <c r="AM76" s="59">
        <f t="shared" si="88"/>
        <v>1354.08</v>
      </c>
      <c r="AN76" s="59">
        <f t="shared" si="89"/>
        <v>2877.42</v>
      </c>
      <c r="AO76" s="59">
        <f t="shared" si="90"/>
        <v>3808.35</v>
      </c>
      <c r="AP76" s="59">
        <f t="shared" si="91"/>
        <v>677.04</v>
      </c>
      <c r="AQ76" s="59">
        <f t="shared" si="92"/>
        <v>1692.6</v>
      </c>
      <c r="AR76" s="256">
        <f t="shared" si="93"/>
        <v>0</v>
      </c>
      <c r="AS76" s="245">
        <f t="shared" si="94"/>
        <v>0</v>
      </c>
      <c r="AT76" s="254">
        <f t="shared" si="95"/>
        <v>5568.200000000001</v>
      </c>
      <c r="AU76" s="236">
        <f t="shared" si="96"/>
        <v>0</v>
      </c>
      <c r="AV76" s="59">
        <f t="shared" si="97"/>
        <v>51840.000000000015</v>
      </c>
      <c r="AW76" s="59">
        <f t="shared" si="98"/>
        <v>0</v>
      </c>
      <c r="AX76" s="59">
        <f t="shared" si="99"/>
        <v>0</v>
      </c>
      <c r="AY76" s="256">
        <v>140000</v>
      </c>
      <c r="AZ76" s="258">
        <v>0</v>
      </c>
      <c r="BA76" s="258">
        <v>0</v>
      </c>
      <c r="BB76" s="236"/>
      <c r="BC76" s="59"/>
      <c r="BD76" s="60">
        <v>0</v>
      </c>
      <c r="BE76" s="58">
        <f t="shared" si="100"/>
        <v>288184.29184967495</v>
      </c>
      <c r="BF76" s="59">
        <f t="shared" si="101"/>
        <v>111842.85363636365</v>
      </c>
      <c r="BG76" s="59">
        <f t="shared" si="102"/>
        <v>140000</v>
      </c>
      <c r="BH76" s="60">
        <f t="shared" si="103"/>
        <v>51840.000000000015</v>
      </c>
      <c r="BI76" s="34">
        <f t="shared" si="104"/>
        <v>540027.1454860386</v>
      </c>
      <c r="BJ76" s="59">
        <f t="shared" si="105"/>
        <v>0</v>
      </c>
      <c r="BK76" s="60">
        <f t="shared" si="106"/>
        <v>540027.1454860386</v>
      </c>
      <c r="BL76" s="58">
        <f t="shared" si="107"/>
        <v>400027.14548603864</v>
      </c>
      <c r="BM76" s="59">
        <v>6250.435722321958</v>
      </c>
      <c r="BN76" s="59">
        <v>7345.591708196722</v>
      </c>
      <c r="BO76" s="33">
        <f t="shared" si="108"/>
        <v>-0.1490902338953461</v>
      </c>
      <c r="BP76" s="204">
        <f t="shared" si="109"/>
        <v>0.13409023389534608</v>
      </c>
      <c r="BQ76" s="60">
        <f t="shared" si="110"/>
        <v>63038.215056116045</v>
      </c>
      <c r="BR76" s="205">
        <f t="shared" si="111"/>
        <v>603065.3605421546</v>
      </c>
      <c r="BS76" s="91">
        <v>0</v>
      </c>
      <c r="BT76" s="91"/>
      <c r="BU76" s="97">
        <f t="shared" si="112"/>
        <v>603065.3605421546</v>
      </c>
      <c r="BV76" s="10"/>
      <c r="BW76" s="116"/>
      <c r="BX76" s="385"/>
      <c r="BY76" s="23"/>
      <c r="BZ76" s="23"/>
      <c r="CA76" s="225">
        <f>VLOOKUP(A76,'Top Up SEN'!A:E,5,0)</f>
        <v>5900</v>
      </c>
      <c r="CB76" s="225">
        <f>VLOOKUP(A76,'2% threshold'!A:H,8,0)</f>
        <v>0</v>
      </c>
      <c r="CC76" s="212"/>
      <c r="CD76" s="433"/>
      <c r="CE76" s="433"/>
      <c r="CF76" s="433"/>
      <c r="CG76" s="433"/>
      <c r="CH76" s="433"/>
      <c r="CI76" s="433"/>
      <c r="CJ76" s="433"/>
      <c r="CK76" s="433"/>
    </row>
    <row r="77" spans="1:89" ht="15">
      <c r="A77" s="37">
        <v>4002</v>
      </c>
      <c r="B77" s="10" t="s">
        <v>143</v>
      </c>
      <c r="C77" s="251">
        <v>52</v>
      </c>
      <c r="D77" s="254">
        <v>0</v>
      </c>
      <c r="E77" s="254">
        <v>52</v>
      </c>
      <c r="F77" s="254">
        <v>0</v>
      </c>
      <c r="G77" s="238">
        <v>52</v>
      </c>
      <c r="H77" s="254">
        <v>0</v>
      </c>
      <c r="I77" s="238">
        <v>24.84955752212389</v>
      </c>
      <c r="J77" s="254">
        <v>0</v>
      </c>
      <c r="K77" s="238">
        <v>0</v>
      </c>
      <c r="L77" s="254">
        <v>0</v>
      </c>
      <c r="M77" s="238">
        <v>0</v>
      </c>
      <c r="N77" s="254">
        <v>0</v>
      </c>
      <c r="O77" s="238">
        <v>0</v>
      </c>
      <c r="P77" s="254">
        <v>7.0000000000000195</v>
      </c>
      <c r="Q77" s="238">
        <v>8.000000000000007</v>
      </c>
      <c r="R77" s="254">
        <v>5.9999999999999805</v>
      </c>
      <c r="S77" s="254">
        <v>2.0000000000000018</v>
      </c>
      <c r="T77" s="238">
        <v>3.9999999999999987</v>
      </c>
      <c r="U77" s="254">
        <v>0</v>
      </c>
      <c r="V77" s="238">
        <v>0</v>
      </c>
      <c r="W77" s="254">
        <v>2.0000000000000018</v>
      </c>
      <c r="X77" s="248">
        <v>0</v>
      </c>
      <c r="Y77" s="248">
        <v>10.4</v>
      </c>
      <c r="Z77" s="248">
        <v>0</v>
      </c>
      <c r="AA77" s="241">
        <v>0</v>
      </c>
      <c r="AB77" s="58">
        <f t="shared" si="77"/>
        <v>0</v>
      </c>
      <c r="AC77" s="59">
        <f t="shared" si="78"/>
        <v>0</v>
      </c>
      <c r="AD77" s="59">
        <f t="shared" si="79"/>
        <v>245162.86459974476</v>
      </c>
      <c r="AE77" s="59">
        <f t="shared" si="80"/>
        <v>0</v>
      </c>
      <c r="AF77" s="59">
        <f t="shared" si="81"/>
        <v>32234.10053097345</v>
      </c>
      <c r="AG77" s="59">
        <f t="shared" si="82"/>
        <v>0</v>
      </c>
      <c r="AH77" s="59">
        <f t="shared" si="83"/>
        <v>0</v>
      </c>
      <c r="AI77" s="59">
        <f t="shared" si="84"/>
        <v>0</v>
      </c>
      <c r="AJ77" s="59">
        <f t="shared" si="85"/>
        <v>0</v>
      </c>
      <c r="AK77" s="59">
        <f t="shared" si="86"/>
        <v>0</v>
      </c>
      <c r="AL77" s="59">
        <f t="shared" si="87"/>
        <v>0</v>
      </c>
      <c r="AM77" s="59">
        <f t="shared" si="88"/>
        <v>592.4100000000017</v>
      </c>
      <c r="AN77" s="59">
        <f t="shared" si="89"/>
        <v>1354.080000000001</v>
      </c>
      <c r="AO77" s="59">
        <f t="shared" si="90"/>
        <v>1523.339999999995</v>
      </c>
      <c r="AP77" s="59">
        <f t="shared" si="91"/>
        <v>677.0400000000005</v>
      </c>
      <c r="AQ77" s="59">
        <f t="shared" si="92"/>
        <v>1692.5999999999995</v>
      </c>
      <c r="AR77" s="256">
        <f t="shared" si="93"/>
        <v>0</v>
      </c>
      <c r="AS77" s="245">
        <f t="shared" si="94"/>
        <v>0</v>
      </c>
      <c r="AT77" s="254">
        <f t="shared" si="95"/>
        <v>2227.280000000002</v>
      </c>
      <c r="AU77" s="236">
        <f t="shared" si="96"/>
        <v>0</v>
      </c>
      <c r="AV77" s="59">
        <f t="shared" si="97"/>
        <v>17160</v>
      </c>
      <c r="AW77" s="59">
        <f t="shared" si="98"/>
        <v>0</v>
      </c>
      <c r="AX77" s="59">
        <f t="shared" si="99"/>
        <v>0</v>
      </c>
      <c r="AY77" s="256">
        <v>140000</v>
      </c>
      <c r="AZ77" s="258">
        <v>26750</v>
      </c>
      <c r="BA77" s="258">
        <v>52.31999999999971</v>
      </c>
      <c r="BB77" s="236"/>
      <c r="BC77" s="59"/>
      <c r="BD77" s="60">
        <v>0</v>
      </c>
      <c r="BE77" s="58">
        <f t="shared" si="100"/>
        <v>245162.86459974476</v>
      </c>
      <c r="BF77" s="59">
        <f t="shared" si="101"/>
        <v>57460.85053097345</v>
      </c>
      <c r="BG77" s="59">
        <f t="shared" si="102"/>
        <v>166802.32</v>
      </c>
      <c r="BH77" s="60">
        <f t="shared" si="103"/>
        <v>17160</v>
      </c>
      <c r="BI77" s="34">
        <f t="shared" si="104"/>
        <v>469426.0351307182</v>
      </c>
      <c r="BJ77" s="59">
        <f t="shared" si="105"/>
        <v>0</v>
      </c>
      <c r="BK77" s="60">
        <f t="shared" si="106"/>
        <v>469426.0351307182</v>
      </c>
      <c r="BL77" s="58">
        <f t="shared" si="107"/>
        <v>302623.7151307182</v>
      </c>
      <c r="BM77" s="59">
        <v>5819.6972287862245</v>
      </c>
      <c r="BN77" s="59">
        <v>5689.591505263158</v>
      </c>
      <c r="BO77" s="33">
        <f t="shared" si="108"/>
        <v>0.02286732244357299</v>
      </c>
      <c r="BP77" s="204">
        <f t="shared" si="109"/>
        <v>0</v>
      </c>
      <c r="BQ77" s="60">
        <f t="shared" si="110"/>
        <v>0</v>
      </c>
      <c r="BR77" s="205">
        <f t="shared" si="111"/>
        <v>469426.0351307182</v>
      </c>
      <c r="BS77" s="91">
        <v>0</v>
      </c>
      <c r="BT77" s="91"/>
      <c r="BU77" s="97">
        <f t="shared" si="112"/>
        <v>469426.0351307182</v>
      </c>
      <c r="BV77" s="10"/>
      <c r="BW77" s="116"/>
      <c r="BX77" s="385"/>
      <c r="BY77" s="23"/>
      <c r="BZ77" s="23"/>
      <c r="CA77" s="199">
        <v>0</v>
      </c>
      <c r="CB77" s="199">
        <f>VLOOKUP(A77,'2% threshold'!A:H,8,0)</f>
        <v>0</v>
      </c>
      <c r="CC77" s="212"/>
      <c r="CD77" s="433"/>
      <c r="CE77" s="433"/>
      <c r="CF77" s="433"/>
      <c r="CG77" s="433"/>
      <c r="CH77" s="433"/>
      <c r="CI77" s="433"/>
      <c r="CJ77" s="433"/>
      <c r="CK77" s="433"/>
    </row>
    <row r="78" spans="1:89" ht="15">
      <c r="A78" s="37">
        <v>4009</v>
      </c>
      <c r="B78" s="10" t="s">
        <v>148</v>
      </c>
      <c r="C78" s="251">
        <v>65</v>
      </c>
      <c r="D78" s="254">
        <v>0</v>
      </c>
      <c r="E78" s="254">
        <v>65</v>
      </c>
      <c r="F78" s="254">
        <v>19</v>
      </c>
      <c r="G78" s="238">
        <v>46</v>
      </c>
      <c r="H78" s="254">
        <v>0</v>
      </c>
      <c r="I78" s="238">
        <v>28.166666666666668</v>
      </c>
      <c r="J78" s="254">
        <v>0</v>
      </c>
      <c r="K78" s="238">
        <v>0</v>
      </c>
      <c r="L78" s="254">
        <v>0</v>
      </c>
      <c r="M78" s="238">
        <v>0</v>
      </c>
      <c r="N78" s="254">
        <v>0</v>
      </c>
      <c r="O78" s="238">
        <v>0</v>
      </c>
      <c r="P78" s="254">
        <v>13.999999999999975</v>
      </c>
      <c r="Q78" s="238">
        <v>15.000000000000016</v>
      </c>
      <c r="R78" s="254">
        <v>10.000000000000009</v>
      </c>
      <c r="S78" s="254">
        <v>7.999999999999995</v>
      </c>
      <c r="T78" s="238">
        <v>1.0000000000000009</v>
      </c>
      <c r="U78" s="254">
        <v>0</v>
      </c>
      <c r="V78" s="238">
        <v>0</v>
      </c>
      <c r="W78" s="254">
        <v>11.349206349206376</v>
      </c>
      <c r="X78" s="248">
        <v>0</v>
      </c>
      <c r="Y78" s="248">
        <v>17.604166666666643</v>
      </c>
      <c r="Z78" s="248">
        <v>0</v>
      </c>
      <c r="AA78" s="241">
        <v>0</v>
      </c>
      <c r="AB78" s="58">
        <f t="shared" si="77"/>
        <v>0</v>
      </c>
      <c r="AC78" s="59">
        <f t="shared" si="78"/>
        <v>78381.44550524889</v>
      </c>
      <c r="AD78" s="59">
        <f t="shared" si="79"/>
        <v>216874.84176131268</v>
      </c>
      <c r="AE78" s="59">
        <f t="shared" si="80"/>
        <v>0</v>
      </c>
      <c r="AF78" s="59">
        <f t="shared" si="81"/>
        <v>36536.955</v>
      </c>
      <c r="AG78" s="59">
        <f t="shared" si="82"/>
        <v>0</v>
      </c>
      <c r="AH78" s="59">
        <f t="shared" si="83"/>
        <v>0</v>
      </c>
      <c r="AI78" s="59">
        <f t="shared" si="84"/>
        <v>0</v>
      </c>
      <c r="AJ78" s="59">
        <f t="shared" si="85"/>
        <v>0</v>
      </c>
      <c r="AK78" s="59">
        <f t="shared" si="86"/>
        <v>0</v>
      </c>
      <c r="AL78" s="59">
        <f t="shared" si="87"/>
        <v>0</v>
      </c>
      <c r="AM78" s="59">
        <f t="shared" si="88"/>
        <v>1184.819999999998</v>
      </c>
      <c r="AN78" s="59">
        <f t="shared" si="89"/>
        <v>2538.9000000000024</v>
      </c>
      <c r="AO78" s="59">
        <f t="shared" si="90"/>
        <v>2538.900000000002</v>
      </c>
      <c r="AP78" s="59">
        <f t="shared" si="91"/>
        <v>2708.159999999998</v>
      </c>
      <c r="AQ78" s="59">
        <f t="shared" si="92"/>
        <v>423.1500000000004</v>
      </c>
      <c r="AR78" s="256">
        <f t="shared" si="93"/>
        <v>0</v>
      </c>
      <c r="AS78" s="245">
        <f t="shared" si="94"/>
        <v>0</v>
      </c>
      <c r="AT78" s="254">
        <f t="shared" si="95"/>
        <v>12638.93015873019</v>
      </c>
      <c r="AU78" s="236">
        <f t="shared" si="96"/>
        <v>0</v>
      </c>
      <c r="AV78" s="59">
        <f t="shared" si="97"/>
        <v>29046.87499999996</v>
      </c>
      <c r="AW78" s="59">
        <f t="shared" si="98"/>
        <v>0</v>
      </c>
      <c r="AX78" s="59">
        <f t="shared" si="99"/>
        <v>0</v>
      </c>
      <c r="AY78" s="256">
        <v>140000</v>
      </c>
      <c r="AZ78" s="258">
        <v>0</v>
      </c>
      <c r="BA78" s="258">
        <v>0</v>
      </c>
      <c r="BB78" s="236"/>
      <c r="BC78" s="59"/>
      <c r="BD78" s="60">
        <v>0</v>
      </c>
      <c r="BE78" s="58">
        <f t="shared" si="100"/>
        <v>295256.2872665616</v>
      </c>
      <c r="BF78" s="59">
        <f t="shared" si="101"/>
        <v>87616.69015873015</v>
      </c>
      <c r="BG78" s="59">
        <f t="shared" si="102"/>
        <v>140000</v>
      </c>
      <c r="BH78" s="60">
        <f t="shared" si="103"/>
        <v>29046.87499999996</v>
      </c>
      <c r="BI78" s="34">
        <f t="shared" si="104"/>
        <v>522872.9774252917</v>
      </c>
      <c r="BJ78" s="59">
        <f t="shared" si="105"/>
        <v>0</v>
      </c>
      <c r="BK78" s="60">
        <f t="shared" si="106"/>
        <v>522872.9774252917</v>
      </c>
      <c r="BL78" s="58">
        <f t="shared" si="107"/>
        <v>382872.9774252917</v>
      </c>
      <c r="BM78" s="59">
        <v>5890.362911748975</v>
      </c>
      <c r="BN78" s="59">
        <v>6193.0566703125005</v>
      </c>
      <c r="BO78" s="33">
        <f t="shared" si="108"/>
        <v>-0.04887631014496291</v>
      </c>
      <c r="BP78" s="204">
        <f t="shared" si="109"/>
        <v>0.03387631014496291</v>
      </c>
      <c r="BQ78" s="60">
        <f t="shared" si="110"/>
        <v>13636.864053074441</v>
      </c>
      <c r="BR78" s="205">
        <f t="shared" si="111"/>
        <v>536509.8414783662</v>
      </c>
      <c r="BS78" s="91">
        <v>0</v>
      </c>
      <c r="BT78" s="91"/>
      <c r="BU78" s="97">
        <f t="shared" si="112"/>
        <v>536509.8414783662</v>
      </c>
      <c r="BV78" s="10"/>
      <c r="BW78" s="116"/>
      <c r="BX78" s="385"/>
      <c r="BY78" s="23"/>
      <c r="BZ78" s="23"/>
      <c r="CA78" s="199">
        <v>0</v>
      </c>
      <c r="CB78" s="199">
        <f>VLOOKUP(A78,'2% threshold'!A:H,8,0)</f>
        <v>0</v>
      </c>
      <c r="CC78" s="212"/>
      <c r="CD78" s="433"/>
      <c r="CE78" s="433"/>
      <c r="CF78" s="433"/>
      <c r="CG78" s="433"/>
      <c r="CH78" s="433"/>
      <c r="CI78" s="433"/>
      <c r="CJ78" s="433"/>
      <c r="CK78" s="433"/>
    </row>
    <row r="79" spans="1:89" ht="15">
      <c r="A79" s="37">
        <v>4014</v>
      </c>
      <c r="B79" s="115" t="s">
        <v>205</v>
      </c>
      <c r="C79" s="251">
        <v>195</v>
      </c>
      <c r="D79" s="254">
        <v>0</v>
      </c>
      <c r="E79" s="254">
        <v>195</v>
      </c>
      <c r="F79" s="254">
        <v>0</v>
      </c>
      <c r="G79" s="238">
        <v>195</v>
      </c>
      <c r="H79" s="254">
        <v>0</v>
      </c>
      <c r="I79" s="238">
        <v>80.17766497461929</v>
      </c>
      <c r="J79" s="254">
        <v>0</v>
      </c>
      <c r="K79" s="238">
        <v>0</v>
      </c>
      <c r="L79" s="254">
        <v>0</v>
      </c>
      <c r="M79" s="238">
        <v>0</v>
      </c>
      <c r="N79" s="254">
        <v>0</v>
      </c>
      <c r="O79" s="238">
        <v>0</v>
      </c>
      <c r="P79" s="254">
        <v>30.15463917525774</v>
      </c>
      <c r="Q79" s="238">
        <v>24.12371134020627</v>
      </c>
      <c r="R79" s="254">
        <v>28.144329896907124</v>
      </c>
      <c r="S79" s="254">
        <v>15.07731958762887</v>
      </c>
      <c r="T79" s="238">
        <v>15.07731958762887</v>
      </c>
      <c r="U79" s="254">
        <v>1.0051546391752573</v>
      </c>
      <c r="V79" s="238">
        <v>0</v>
      </c>
      <c r="W79" s="254">
        <v>6.000000000000005</v>
      </c>
      <c r="X79" s="248">
        <v>0</v>
      </c>
      <c r="Y79" s="248">
        <v>47.66666666666658</v>
      </c>
      <c r="Z79" s="248">
        <v>0</v>
      </c>
      <c r="AA79" s="241">
        <v>0</v>
      </c>
      <c r="AB79" s="58">
        <f t="shared" si="77"/>
        <v>0</v>
      </c>
      <c r="AC79" s="59">
        <f t="shared" si="78"/>
        <v>0</v>
      </c>
      <c r="AD79" s="59">
        <f t="shared" si="79"/>
        <v>919360.7422490428</v>
      </c>
      <c r="AE79" s="59">
        <f t="shared" si="80"/>
        <v>0</v>
      </c>
      <c r="AF79" s="59">
        <f t="shared" si="81"/>
        <v>104004.06167512691</v>
      </c>
      <c r="AG79" s="59">
        <f t="shared" si="82"/>
        <v>0</v>
      </c>
      <c r="AH79" s="59">
        <f t="shared" si="83"/>
        <v>0</v>
      </c>
      <c r="AI79" s="59">
        <f t="shared" si="84"/>
        <v>0</v>
      </c>
      <c r="AJ79" s="59">
        <f t="shared" si="85"/>
        <v>0</v>
      </c>
      <c r="AK79" s="59">
        <f t="shared" si="86"/>
        <v>0</v>
      </c>
      <c r="AL79" s="59">
        <f t="shared" si="87"/>
        <v>0</v>
      </c>
      <c r="AM79" s="59">
        <f t="shared" si="88"/>
        <v>2551.9871134020623</v>
      </c>
      <c r="AN79" s="59">
        <f t="shared" si="89"/>
        <v>4083.179381443313</v>
      </c>
      <c r="AO79" s="59">
        <f t="shared" si="90"/>
        <v>7145.563917525749</v>
      </c>
      <c r="AP79" s="59">
        <f t="shared" si="91"/>
        <v>5103.974226804125</v>
      </c>
      <c r="AQ79" s="59">
        <f t="shared" si="92"/>
        <v>6379.967783505155</v>
      </c>
      <c r="AR79" s="256">
        <f t="shared" si="93"/>
        <v>510.3974226804121</v>
      </c>
      <c r="AS79" s="245">
        <f t="shared" si="94"/>
        <v>0</v>
      </c>
      <c r="AT79" s="254">
        <f t="shared" si="95"/>
        <v>6681.8400000000065</v>
      </c>
      <c r="AU79" s="236">
        <f t="shared" si="96"/>
        <v>0</v>
      </c>
      <c r="AV79" s="59">
        <f t="shared" si="97"/>
        <v>78649.99999999985</v>
      </c>
      <c r="AW79" s="59">
        <f t="shared" si="98"/>
        <v>0</v>
      </c>
      <c r="AX79" s="59">
        <f t="shared" si="99"/>
        <v>0</v>
      </c>
      <c r="AY79" s="256">
        <v>140000</v>
      </c>
      <c r="AZ79" s="258">
        <v>40750</v>
      </c>
      <c r="BA79" s="258">
        <v>285.74</v>
      </c>
      <c r="BB79" s="236"/>
      <c r="BC79" s="59"/>
      <c r="BD79" s="60">
        <v>-47580.56</v>
      </c>
      <c r="BE79" s="58">
        <f t="shared" si="100"/>
        <v>919360.7422490428</v>
      </c>
      <c r="BF79" s="59">
        <f t="shared" si="101"/>
        <v>215110.9715204876</v>
      </c>
      <c r="BG79" s="59">
        <f t="shared" si="102"/>
        <v>133455.18</v>
      </c>
      <c r="BH79" s="60">
        <f t="shared" si="103"/>
        <v>78649.99999999985</v>
      </c>
      <c r="BI79" s="34">
        <f t="shared" si="104"/>
        <v>1267926.8937695303</v>
      </c>
      <c r="BJ79" s="59">
        <f t="shared" si="105"/>
        <v>0</v>
      </c>
      <c r="BK79" s="60">
        <f t="shared" si="106"/>
        <v>1267926.8937695303</v>
      </c>
      <c r="BL79" s="58">
        <f t="shared" si="107"/>
        <v>1134471.7137695304</v>
      </c>
      <c r="BM79" s="59">
        <v>5817.812552268263</v>
      </c>
      <c r="BN79" s="59">
        <v>5632.405152729702</v>
      </c>
      <c r="BO79" s="33">
        <f t="shared" si="108"/>
        <v>0.032917979887988766</v>
      </c>
      <c r="BP79" s="204">
        <f t="shared" si="109"/>
        <v>0</v>
      </c>
      <c r="BQ79" s="60">
        <f t="shared" si="110"/>
        <v>0</v>
      </c>
      <c r="BR79" s="205">
        <f t="shared" si="111"/>
        <v>1267926.8937695303</v>
      </c>
      <c r="BS79" s="91">
        <v>0</v>
      </c>
      <c r="BT79" s="91"/>
      <c r="BU79" s="97">
        <f t="shared" si="112"/>
        <v>1267926.8937695303</v>
      </c>
      <c r="BV79" s="10"/>
      <c r="BW79" s="116"/>
      <c r="BX79" s="385"/>
      <c r="BY79" s="23"/>
      <c r="BZ79" s="23"/>
      <c r="CA79" s="199">
        <f>VLOOKUP(A79,'Top Up SEN'!A:E,5,0)</f>
        <v>12667</v>
      </c>
      <c r="CB79" s="199">
        <f>VLOOKUP(A79,'2% threshold'!A:H,8,0)</f>
        <v>0</v>
      </c>
      <c r="CC79" s="212"/>
      <c r="CD79" s="433"/>
      <c r="CE79" s="433"/>
      <c r="CF79" s="433"/>
      <c r="CG79" s="433"/>
      <c r="CH79" s="433"/>
      <c r="CI79" s="433"/>
      <c r="CJ79" s="433"/>
      <c r="CK79" s="433"/>
    </row>
    <row r="80" spans="1:89" ht="15">
      <c r="A80" s="37">
        <v>4021</v>
      </c>
      <c r="B80" s="211" t="s">
        <v>214</v>
      </c>
      <c r="C80" s="251">
        <v>711</v>
      </c>
      <c r="D80" s="254">
        <v>0</v>
      </c>
      <c r="E80" s="254">
        <v>711</v>
      </c>
      <c r="F80" s="254">
        <v>426</v>
      </c>
      <c r="G80" s="238">
        <v>285</v>
      </c>
      <c r="H80" s="254">
        <v>0</v>
      </c>
      <c r="I80" s="238">
        <v>327.04193138500636</v>
      </c>
      <c r="J80" s="254">
        <v>0</v>
      </c>
      <c r="K80" s="238">
        <v>0</v>
      </c>
      <c r="L80" s="254">
        <v>0</v>
      </c>
      <c r="M80" s="238">
        <v>0</v>
      </c>
      <c r="N80" s="254">
        <v>0</v>
      </c>
      <c r="O80" s="238">
        <v>0</v>
      </c>
      <c r="P80" s="254">
        <v>77.10845070422526</v>
      </c>
      <c r="Q80" s="238">
        <v>192.27042253521157</v>
      </c>
      <c r="R80" s="254">
        <v>223.3140845070426</v>
      </c>
      <c r="S80" s="254">
        <v>114.1605633802816</v>
      </c>
      <c r="T80" s="238">
        <v>17.023943661971842</v>
      </c>
      <c r="U80" s="254">
        <v>0</v>
      </c>
      <c r="V80" s="238">
        <v>0</v>
      </c>
      <c r="W80" s="254">
        <v>24.10169491525426</v>
      </c>
      <c r="X80" s="248">
        <v>0</v>
      </c>
      <c r="Y80" s="248">
        <v>178.31565514826576</v>
      </c>
      <c r="Z80" s="248">
        <v>0</v>
      </c>
      <c r="AA80" s="241">
        <v>0</v>
      </c>
      <c r="AB80" s="58">
        <f t="shared" si="77"/>
        <v>0</v>
      </c>
      <c r="AC80" s="59">
        <f t="shared" si="78"/>
        <v>1757394.5150124226</v>
      </c>
      <c r="AD80" s="59">
        <f t="shared" si="79"/>
        <v>1343681.0848255241</v>
      </c>
      <c r="AE80" s="59">
        <f t="shared" si="80"/>
        <v>0</v>
      </c>
      <c r="AF80" s="59">
        <f t="shared" si="81"/>
        <v>424228.9821346887</v>
      </c>
      <c r="AG80" s="59">
        <f t="shared" si="82"/>
        <v>0</v>
      </c>
      <c r="AH80" s="59">
        <f t="shared" si="83"/>
        <v>0</v>
      </c>
      <c r="AI80" s="59">
        <f t="shared" si="84"/>
        <v>0</v>
      </c>
      <c r="AJ80" s="59">
        <f t="shared" si="85"/>
        <v>0</v>
      </c>
      <c r="AK80" s="59">
        <f t="shared" si="86"/>
        <v>0</v>
      </c>
      <c r="AL80" s="59">
        <f t="shared" si="87"/>
        <v>0</v>
      </c>
      <c r="AM80" s="59">
        <f t="shared" si="88"/>
        <v>6525.688183098584</v>
      </c>
      <c r="AN80" s="59">
        <f t="shared" si="89"/>
        <v>32543.691718309907</v>
      </c>
      <c r="AO80" s="59">
        <f t="shared" si="90"/>
        <v>56697.212915493044</v>
      </c>
      <c r="AP80" s="59">
        <f t="shared" si="91"/>
        <v>38645.63391549292</v>
      </c>
      <c r="AQ80" s="59">
        <f t="shared" si="92"/>
        <v>7203.681760563384</v>
      </c>
      <c r="AR80" s="256">
        <f t="shared" si="93"/>
        <v>0</v>
      </c>
      <c r="AS80" s="245">
        <f t="shared" si="94"/>
        <v>0</v>
      </c>
      <c r="AT80" s="254">
        <f t="shared" si="95"/>
        <v>26840.611525423756</v>
      </c>
      <c r="AU80" s="236">
        <f t="shared" si="96"/>
        <v>0</v>
      </c>
      <c r="AV80" s="59">
        <f t="shared" si="97"/>
        <v>294220.8309946385</v>
      </c>
      <c r="AW80" s="59">
        <f t="shared" si="98"/>
        <v>0</v>
      </c>
      <c r="AX80" s="59">
        <f t="shared" si="99"/>
        <v>0</v>
      </c>
      <c r="AY80" s="256">
        <v>140000</v>
      </c>
      <c r="AZ80" s="258">
        <v>38000</v>
      </c>
      <c r="BA80" s="258">
        <v>-22422.32</v>
      </c>
      <c r="BB80" s="236"/>
      <c r="BC80" s="59"/>
      <c r="BD80" s="60">
        <v>0</v>
      </c>
      <c r="BE80" s="58">
        <f t="shared" si="100"/>
        <v>3101075.5998379467</v>
      </c>
      <c r="BF80" s="59">
        <f t="shared" si="101"/>
        <v>886906.3331477088</v>
      </c>
      <c r="BG80" s="59">
        <f t="shared" si="102"/>
        <v>155577.68</v>
      </c>
      <c r="BH80" s="60">
        <f t="shared" si="103"/>
        <v>294220.8309946385</v>
      </c>
      <c r="BI80" s="34">
        <f t="shared" si="104"/>
        <v>4143559.6129856557</v>
      </c>
      <c r="BJ80" s="59">
        <f t="shared" si="105"/>
        <v>0</v>
      </c>
      <c r="BK80" s="60">
        <f t="shared" si="106"/>
        <v>4143559.6129856557</v>
      </c>
      <c r="BL80" s="58">
        <f t="shared" si="107"/>
        <v>3987981.9329856555</v>
      </c>
      <c r="BM80" s="59">
        <v>5608.9859539871395</v>
      </c>
      <c r="BN80" s="59">
        <v>5519.9123047381545</v>
      </c>
      <c r="BO80" s="33">
        <f t="shared" si="108"/>
        <v>0.01613678702332398</v>
      </c>
      <c r="BP80" s="204">
        <f t="shared" si="109"/>
        <v>0</v>
      </c>
      <c r="BQ80" s="60">
        <f t="shared" si="110"/>
        <v>0</v>
      </c>
      <c r="BR80" s="205">
        <f t="shared" si="111"/>
        <v>4143559.6129856557</v>
      </c>
      <c r="BS80" s="91">
        <v>0</v>
      </c>
      <c r="BT80" s="91"/>
      <c r="BU80" s="97">
        <f t="shared" si="112"/>
        <v>4143559.6129856557</v>
      </c>
      <c r="BV80" s="10"/>
      <c r="BW80" s="116"/>
      <c r="BX80" s="385"/>
      <c r="BY80" s="23"/>
      <c r="BZ80" s="23"/>
      <c r="CA80" s="225">
        <f>VLOOKUP(A80,'Top Up SEN'!A:E,5,0)</f>
        <v>60258</v>
      </c>
      <c r="CB80" s="225">
        <f>VLOOKUP(A80,'2% threshold'!A:H,8,0)</f>
        <v>0</v>
      </c>
      <c r="CC80" s="212"/>
      <c r="CD80" s="433"/>
      <c r="CE80" s="433"/>
      <c r="CF80" s="433"/>
      <c r="CG80" s="433"/>
      <c r="CH80" s="433"/>
      <c r="CI80" s="433"/>
      <c r="CJ80" s="433"/>
      <c r="CK80" s="433"/>
    </row>
    <row r="81" spans="1:89" ht="15">
      <c r="A81" s="37">
        <v>4023</v>
      </c>
      <c r="B81" s="10" t="s">
        <v>45</v>
      </c>
      <c r="C81" s="251">
        <v>897</v>
      </c>
      <c r="D81" s="254">
        <v>0</v>
      </c>
      <c r="E81" s="254">
        <v>897</v>
      </c>
      <c r="F81" s="254">
        <v>542</v>
      </c>
      <c r="G81" s="238">
        <v>355</v>
      </c>
      <c r="H81" s="254">
        <v>0</v>
      </c>
      <c r="I81" s="238">
        <v>197.88969359331497</v>
      </c>
      <c r="J81" s="254">
        <v>0</v>
      </c>
      <c r="K81" s="238">
        <v>0</v>
      </c>
      <c r="L81" s="254">
        <v>0</v>
      </c>
      <c r="M81" s="238">
        <v>0</v>
      </c>
      <c r="N81" s="254">
        <v>0</v>
      </c>
      <c r="O81" s="238">
        <v>0</v>
      </c>
      <c r="P81" s="254">
        <v>77</v>
      </c>
      <c r="Q81" s="238">
        <v>26.999999999999968</v>
      </c>
      <c r="R81" s="254">
        <v>26.999999999999968</v>
      </c>
      <c r="S81" s="254">
        <v>7.000000000000005</v>
      </c>
      <c r="T81" s="238">
        <v>8.99999999999999</v>
      </c>
      <c r="U81" s="254">
        <v>0</v>
      </c>
      <c r="V81" s="238">
        <v>0</v>
      </c>
      <c r="W81" s="254">
        <v>36.04017857142854</v>
      </c>
      <c r="X81" s="248">
        <v>0</v>
      </c>
      <c r="Y81" s="248">
        <v>174.44398843369976</v>
      </c>
      <c r="Z81" s="248">
        <v>0</v>
      </c>
      <c r="AA81" s="241">
        <v>0</v>
      </c>
      <c r="AB81" s="58">
        <f t="shared" si="77"/>
        <v>0</v>
      </c>
      <c r="AC81" s="59">
        <f t="shared" si="78"/>
        <v>2235933.8665181524</v>
      </c>
      <c r="AD81" s="59">
        <f t="shared" si="79"/>
        <v>1673708.0179405652</v>
      </c>
      <c r="AE81" s="59">
        <f t="shared" si="80"/>
        <v>0</v>
      </c>
      <c r="AF81" s="59">
        <f t="shared" si="81"/>
        <v>256696.5738384404</v>
      </c>
      <c r="AG81" s="59">
        <f t="shared" si="82"/>
        <v>0</v>
      </c>
      <c r="AH81" s="59">
        <f t="shared" si="83"/>
        <v>0</v>
      </c>
      <c r="AI81" s="59">
        <f t="shared" si="84"/>
        <v>0</v>
      </c>
      <c r="AJ81" s="59">
        <f t="shared" si="85"/>
        <v>0</v>
      </c>
      <c r="AK81" s="59">
        <f t="shared" si="86"/>
        <v>0</v>
      </c>
      <c r="AL81" s="59">
        <f t="shared" si="87"/>
        <v>0</v>
      </c>
      <c r="AM81" s="59">
        <f t="shared" si="88"/>
        <v>6516.509999999999</v>
      </c>
      <c r="AN81" s="59">
        <f t="shared" si="89"/>
        <v>4570.019999999994</v>
      </c>
      <c r="AO81" s="59">
        <f t="shared" si="90"/>
        <v>6855.029999999992</v>
      </c>
      <c r="AP81" s="59">
        <f t="shared" si="91"/>
        <v>2369.6400000000017</v>
      </c>
      <c r="AQ81" s="59">
        <f t="shared" si="92"/>
        <v>3808.3499999999954</v>
      </c>
      <c r="AR81" s="256">
        <f t="shared" si="93"/>
        <v>0</v>
      </c>
      <c r="AS81" s="245">
        <f t="shared" si="94"/>
        <v>0</v>
      </c>
      <c r="AT81" s="254">
        <f t="shared" si="95"/>
        <v>40135.78446428569</v>
      </c>
      <c r="AU81" s="236">
        <f t="shared" si="96"/>
        <v>0</v>
      </c>
      <c r="AV81" s="59">
        <f t="shared" si="97"/>
        <v>287832.5809156046</v>
      </c>
      <c r="AW81" s="59">
        <f t="shared" si="98"/>
        <v>0</v>
      </c>
      <c r="AX81" s="59">
        <f t="shared" si="99"/>
        <v>0</v>
      </c>
      <c r="AY81" s="256">
        <v>140000</v>
      </c>
      <c r="AZ81" s="258">
        <v>18900</v>
      </c>
      <c r="BA81" s="258">
        <v>-0.9599999999991269</v>
      </c>
      <c r="BB81" s="236"/>
      <c r="BC81" s="59"/>
      <c r="BD81" s="60">
        <v>0</v>
      </c>
      <c r="BE81" s="58">
        <f t="shared" si="100"/>
        <v>3909641.884458718</v>
      </c>
      <c r="BF81" s="59">
        <f t="shared" si="101"/>
        <v>608784.4892183307</v>
      </c>
      <c r="BG81" s="59">
        <f t="shared" si="102"/>
        <v>158899.04</v>
      </c>
      <c r="BH81" s="60">
        <f t="shared" si="103"/>
        <v>287832.5809156046</v>
      </c>
      <c r="BI81" s="34">
        <f t="shared" si="104"/>
        <v>4677325.413677049</v>
      </c>
      <c r="BJ81" s="59">
        <f t="shared" si="105"/>
        <v>0</v>
      </c>
      <c r="BK81" s="60">
        <f t="shared" si="106"/>
        <v>4677325.413677049</v>
      </c>
      <c r="BL81" s="58">
        <f t="shared" si="107"/>
        <v>4518426.373677049</v>
      </c>
      <c r="BM81" s="59">
        <v>5037.269466895576</v>
      </c>
      <c r="BN81" s="59">
        <v>5055.776396996663</v>
      </c>
      <c r="BO81" s="33">
        <f t="shared" si="108"/>
        <v>-0.00366055154497737</v>
      </c>
      <c r="BP81" s="204">
        <f t="shared" si="109"/>
        <v>0</v>
      </c>
      <c r="BQ81" s="60">
        <f t="shared" si="110"/>
        <v>0</v>
      </c>
      <c r="BR81" s="205">
        <f t="shared" si="111"/>
        <v>4677325.413677049</v>
      </c>
      <c r="BS81" s="91">
        <v>0</v>
      </c>
      <c r="BT81" s="91"/>
      <c r="BU81" s="97">
        <f t="shared" si="112"/>
        <v>4677325.413677049</v>
      </c>
      <c r="BV81" s="10"/>
      <c r="BW81" s="116"/>
      <c r="BX81" s="385"/>
      <c r="BY81" s="23"/>
      <c r="BZ81" s="23"/>
      <c r="CA81" s="225">
        <f>VLOOKUP(A81,'Top Up SEN'!A:E,5,0)</f>
        <v>81900</v>
      </c>
      <c r="CB81" s="225">
        <f>VLOOKUP(A81,'2% threshold'!A:H,8,0)</f>
        <v>0</v>
      </c>
      <c r="CC81" s="212"/>
      <c r="CD81" s="433"/>
      <c r="CE81" s="433"/>
      <c r="CF81" s="433"/>
      <c r="CG81" s="433"/>
      <c r="CH81" s="433"/>
      <c r="CI81" s="433"/>
      <c r="CJ81" s="433"/>
      <c r="CK81" s="433"/>
    </row>
    <row r="82" spans="1:89" ht="15">
      <c r="A82" s="37">
        <v>4600</v>
      </c>
      <c r="B82" s="115" t="s">
        <v>46</v>
      </c>
      <c r="C82" s="251">
        <v>946</v>
      </c>
      <c r="D82" s="254">
        <v>0</v>
      </c>
      <c r="E82" s="254">
        <v>946</v>
      </c>
      <c r="F82" s="254">
        <v>571</v>
      </c>
      <c r="G82" s="238">
        <v>375</v>
      </c>
      <c r="H82" s="254">
        <v>0</v>
      </c>
      <c r="I82" s="238">
        <v>97.46362187997885</v>
      </c>
      <c r="J82" s="254">
        <v>0</v>
      </c>
      <c r="K82" s="238">
        <v>0</v>
      </c>
      <c r="L82" s="254">
        <v>0</v>
      </c>
      <c r="M82" s="238">
        <v>0</v>
      </c>
      <c r="N82" s="254">
        <v>0</v>
      </c>
      <c r="O82" s="238">
        <v>0</v>
      </c>
      <c r="P82" s="254">
        <v>107.99999999999974</v>
      </c>
      <c r="Q82" s="238">
        <v>92.99999999999996</v>
      </c>
      <c r="R82" s="254">
        <v>35.99999999999997</v>
      </c>
      <c r="S82" s="254">
        <v>23.000000000000036</v>
      </c>
      <c r="T82" s="238">
        <v>3.0000000000000013</v>
      </c>
      <c r="U82" s="254">
        <v>1.0000000000000002</v>
      </c>
      <c r="V82" s="238">
        <v>0</v>
      </c>
      <c r="W82" s="254">
        <v>3.0000000000000013</v>
      </c>
      <c r="X82" s="248">
        <v>0</v>
      </c>
      <c r="Y82" s="248">
        <v>114.58879422331555</v>
      </c>
      <c r="Z82" s="248">
        <v>0</v>
      </c>
      <c r="AA82" s="241">
        <v>0</v>
      </c>
      <c r="AB82" s="58">
        <f t="shared" si="77"/>
        <v>0</v>
      </c>
      <c r="AC82" s="59">
        <f t="shared" si="78"/>
        <v>2355568.704394585</v>
      </c>
      <c r="AD82" s="59">
        <f t="shared" si="79"/>
        <v>1768001.4274020055</v>
      </c>
      <c r="AE82" s="59">
        <f t="shared" si="80"/>
        <v>0</v>
      </c>
      <c r="AF82" s="59">
        <f t="shared" si="81"/>
        <v>126426.88639405217</v>
      </c>
      <c r="AG82" s="59">
        <f t="shared" si="82"/>
        <v>0</v>
      </c>
      <c r="AH82" s="59">
        <f t="shared" si="83"/>
        <v>0</v>
      </c>
      <c r="AI82" s="59">
        <f t="shared" si="84"/>
        <v>0</v>
      </c>
      <c r="AJ82" s="59">
        <f t="shared" si="85"/>
        <v>0</v>
      </c>
      <c r="AK82" s="59">
        <f t="shared" si="86"/>
        <v>0</v>
      </c>
      <c r="AL82" s="59">
        <f t="shared" si="87"/>
        <v>0</v>
      </c>
      <c r="AM82" s="59">
        <f t="shared" si="88"/>
        <v>9140.039999999977</v>
      </c>
      <c r="AN82" s="59">
        <f t="shared" si="89"/>
        <v>15741.179999999991</v>
      </c>
      <c r="AO82" s="59">
        <f t="shared" si="90"/>
        <v>9140.039999999992</v>
      </c>
      <c r="AP82" s="59">
        <f t="shared" si="91"/>
        <v>7785.960000000012</v>
      </c>
      <c r="AQ82" s="59">
        <f t="shared" si="92"/>
        <v>1269.4500000000005</v>
      </c>
      <c r="AR82" s="256">
        <f t="shared" si="93"/>
        <v>507.7800000000001</v>
      </c>
      <c r="AS82" s="245">
        <f t="shared" si="94"/>
        <v>0</v>
      </c>
      <c r="AT82" s="254">
        <f t="shared" si="95"/>
        <v>3340.920000000002</v>
      </c>
      <c r="AU82" s="236">
        <f t="shared" si="96"/>
        <v>0</v>
      </c>
      <c r="AV82" s="59">
        <f t="shared" si="97"/>
        <v>189071.51046847066</v>
      </c>
      <c r="AW82" s="59">
        <f t="shared" si="98"/>
        <v>0</v>
      </c>
      <c r="AX82" s="59">
        <f t="shared" si="99"/>
        <v>0</v>
      </c>
      <c r="AY82" s="256">
        <v>140000</v>
      </c>
      <c r="AZ82" s="258">
        <v>24000</v>
      </c>
      <c r="BA82" s="258">
        <v>255.96</v>
      </c>
      <c r="BB82" s="236"/>
      <c r="BC82" s="59"/>
      <c r="BD82" s="60">
        <v>0</v>
      </c>
      <c r="BE82" s="58">
        <f t="shared" si="100"/>
        <v>4123570.1317965905</v>
      </c>
      <c r="BF82" s="59">
        <f t="shared" si="101"/>
        <v>362423.7668625228</v>
      </c>
      <c r="BG82" s="59">
        <f t="shared" si="102"/>
        <v>164255.96</v>
      </c>
      <c r="BH82" s="60">
        <f t="shared" si="103"/>
        <v>189071.51046847066</v>
      </c>
      <c r="BI82" s="34">
        <f t="shared" si="104"/>
        <v>4650249.858659114</v>
      </c>
      <c r="BJ82" s="59">
        <f t="shared" si="105"/>
        <v>0</v>
      </c>
      <c r="BK82" s="60">
        <f t="shared" si="106"/>
        <v>4650249.858659114</v>
      </c>
      <c r="BL82" s="58">
        <f t="shared" si="107"/>
        <v>4485993.898659114</v>
      </c>
      <c r="BM82" s="59">
        <v>4742.067673309535</v>
      </c>
      <c r="BN82" s="59">
        <v>4577.242709235669</v>
      </c>
      <c r="BO82" s="33">
        <f t="shared" si="108"/>
        <v>0.03600966226704399</v>
      </c>
      <c r="BP82" s="204">
        <f t="shared" si="109"/>
        <v>0</v>
      </c>
      <c r="BQ82" s="60">
        <f t="shared" si="110"/>
        <v>0</v>
      </c>
      <c r="BR82" s="205">
        <f t="shared" si="111"/>
        <v>4650249.858659114</v>
      </c>
      <c r="BS82" s="91">
        <v>0</v>
      </c>
      <c r="BT82" s="91"/>
      <c r="BU82" s="97">
        <f t="shared" si="112"/>
        <v>4650249.858659114</v>
      </c>
      <c r="BV82" s="10"/>
      <c r="BW82" s="116"/>
      <c r="BX82" s="385"/>
      <c r="BY82" s="23"/>
      <c r="BZ82" s="23"/>
      <c r="CA82" s="225">
        <f>VLOOKUP(A82,'Top Up SEN'!A:E,5,0)</f>
        <v>141031</v>
      </c>
      <c r="CB82" s="225">
        <f>VLOOKUP(A82,'2% threshold'!A:H,8,0)</f>
        <v>18000</v>
      </c>
      <c r="CC82" s="212"/>
      <c r="CD82" s="433"/>
      <c r="CE82" s="433"/>
      <c r="CF82" s="433"/>
      <c r="CG82" s="433"/>
      <c r="CH82" s="433"/>
      <c r="CI82" s="433"/>
      <c r="CJ82" s="433"/>
      <c r="CK82" s="433"/>
    </row>
    <row r="83" spans="1:89" ht="15">
      <c r="A83" s="37">
        <v>5400</v>
      </c>
      <c r="B83" s="115" t="s">
        <v>144</v>
      </c>
      <c r="C83" s="251">
        <v>931</v>
      </c>
      <c r="D83" s="254">
        <v>0</v>
      </c>
      <c r="E83" s="254">
        <v>931</v>
      </c>
      <c r="F83" s="254">
        <v>557</v>
      </c>
      <c r="G83" s="238">
        <v>374</v>
      </c>
      <c r="H83" s="254">
        <v>0</v>
      </c>
      <c r="I83" s="238">
        <v>268.1440085975285</v>
      </c>
      <c r="J83" s="254">
        <v>0</v>
      </c>
      <c r="K83" s="238">
        <v>0</v>
      </c>
      <c r="L83" s="254">
        <v>0</v>
      </c>
      <c r="M83" s="238">
        <v>0</v>
      </c>
      <c r="N83" s="254">
        <v>0</v>
      </c>
      <c r="O83" s="238">
        <v>0</v>
      </c>
      <c r="P83" s="254">
        <v>210.2258064516127</v>
      </c>
      <c r="Q83" s="238">
        <v>218.23440860215086</v>
      </c>
      <c r="R83" s="254">
        <v>166.17849462365595</v>
      </c>
      <c r="S83" s="254">
        <v>30.032258064516096</v>
      </c>
      <c r="T83" s="238">
        <v>2.0021505376344066</v>
      </c>
      <c r="U83" s="254">
        <v>0</v>
      </c>
      <c r="V83" s="238">
        <v>0</v>
      </c>
      <c r="W83" s="254">
        <v>23.099244875943935</v>
      </c>
      <c r="X83" s="248">
        <v>0</v>
      </c>
      <c r="Y83" s="248">
        <v>178.73528323667324</v>
      </c>
      <c r="Z83" s="248">
        <v>0</v>
      </c>
      <c r="AA83" s="241">
        <v>0</v>
      </c>
      <c r="AB83" s="58">
        <f t="shared" si="77"/>
        <v>0</v>
      </c>
      <c r="AC83" s="59">
        <f t="shared" si="78"/>
        <v>2297813.9550749282</v>
      </c>
      <c r="AD83" s="59">
        <f t="shared" si="79"/>
        <v>1763286.7569289336</v>
      </c>
      <c r="AE83" s="59">
        <f t="shared" si="80"/>
        <v>0</v>
      </c>
      <c r="AF83" s="59">
        <f t="shared" si="81"/>
        <v>347828.36363245605</v>
      </c>
      <c r="AG83" s="59">
        <f t="shared" si="82"/>
        <v>0</v>
      </c>
      <c r="AH83" s="59">
        <f t="shared" si="83"/>
        <v>0</v>
      </c>
      <c r="AI83" s="59">
        <f t="shared" si="84"/>
        <v>0</v>
      </c>
      <c r="AJ83" s="59">
        <f t="shared" si="85"/>
        <v>0</v>
      </c>
      <c r="AK83" s="59">
        <f t="shared" si="86"/>
        <v>0</v>
      </c>
      <c r="AL83" s="59">
        <f t="shared" si="87"/>
        <v>0</v>
      </c>
      <c r="AM83" s="59">
        <f t="shared" si="88"/>
        <v>17791.40999999998</v>
      </c>
      <c r="AN83" s="59">
        <f t="shared" si="89"/>
        <v>36938.35600000005</v>
      </c>
      <c r="AO83" s="59">
        <f t="shared" si="90"/>
        <v>42191.058000000005</v>
      </c>
      <c r="AP83" s="59">
        <f t="shared" si="91"/>
        <v>10166.519999999988</v>
      </c>
      <c r="AQ83" s="59">
        <f t="shared" si="92"/>
        <v>847.2099999999991</v>
      </c>
      <c r="AR83" s="256">
        <f t="shared" si="93"/>
        <v>0</v>
      </c>
      <c r="AS83" s="245">
        <f t="shared" si="94"/>
        <v>0</v>
      </c>
      <c r="AT83" s="254">
        <f t="shared" si="95"/>
        <v>25724.243063646205</v>
      </c>
      <c r="AU83" s="236">
        <f t="shared" si="96"/>
        <v>0</v>
      </c>
      <c r="AV83" s="59">
        <f t="shared" si="97"/>
        <v>294913.21734051086</v>
      </c>
      <c r="AW83" s="59">
        <f t="shared" si="98"/>
        <v>0</v>
      </c>
      <c r="AX83" s="59">
        <f t="shared" si="99"/>
        <v>0</v>
      </c>
      <c r="AY83" s="256">
        <v>140000</v>
      </c>
      <c r="AZ83" s="258">
        <v>35500</v>
      </c>
      <c r="BA83" s="258">
        <v>5929</v>
      </c>
      <c r="BB83" s="236"/>
      <c r="BC83" s="59"/>
      <c r="BD83" s="60">
        <v>0</v>
      </c>
      <c r="BE83" s="58">
        <f t="shared" si="100"/>
        <v>4061100.7120038616</v>
      </c>
      <c r="BF83" s="59">
        <f t="shared" si="101"/>
        <v>776400.3780366131</v>
      </c>
      <c r="BG83" s="59">
        <f t="shared" si="102"/>
        <v>181429</v>
      </c>
      <c r="BH83" s="60">
        <f t="shared" si="103"/>
        <v>294913.21734051086</v>
      </c>
      <c r="BI83" s="34">
        <f t="shared" si="104"/>
        <v>5018930.090040475</v>
      </c>
      <c r="BJ83" s="59">
        <f t="shared" si="105"/>
        <v>0</v>
      </c>
      <c r="BK83" s="60">
        <f t="shared" si="106"/>
        <v>5018930.090040475</v>
      </c>
      <c r="BL83" s="58">
        <f t="shared" si="107"/>
        <v>4837501.090040475</v>
      </c>
      <c r="BM83" s="59">
        <v>5196.033256363415</v>
      </c>
      <c r="BN83" s="59">
        <v>5060.492387755102</v>
      </c>
      <c r="BO83" s="33">
        <f t="shared" si="108"/>
        <v>0.026784126567660046</v>
      </c>
      <c r="BP83" s="204">
        <f t="shared" si="109"/>
        <v>0</v>
      </c>
      <c r="BQ83" s="60">
        <f t="shared" si="110"/>
        <v>0</v>
      </c>
      <c r="BR83" s="205">
        <f t="shared" si="111"/>
        <v>5018930.090040475</v>
      </c>
      <c r="BS83" s="91">
        <v>0</v>
      </c>
      <c r="BT83" s="91"/>
      <c r="BU83" s="97">
        <f t="shared" si="112"/>
        <v>5018930.090040475</v>
      </c>
      <c r="BV83" s="10"/>
      <c r="BW83" s="116"/>
      <c r="BX83" s="385"/>
      <c r="BY83" s="23"/>
      <c r="BZ83" s="23"/>
      <c r="CA83" s="225">
        <f>VLOOKUP(A83,'Top Up SEN'!A:E,5,0)</f>
        <v>190715</v>
      </c>
      <c r="CB83" s="225">
        <f>VLOOKUP(A83,'2% threshold'!A:H,8,0)</f>
        <v>90000</v>
      </c>
      <c r="CC83" s="212"/>
      <c r="CD83" s="433"/>
      <c r="CE83" s="433"/>
      <c r="CF83" s="433"/>
      <c r="CG83" s="433"/>
      <c r="CH83" s="433"/>
      <c r="CI83" s="433"/>
      <c r="CJ83" s="433"/>
      <c r="CK83" s="433"/>
    </row>
    <row r="84" spans="1:89" ht="15">
      <c r="A84" s="37">
        <v>5401</v>
      </c>
      <c r="B84" s="115" t="s">
        <v>100</v>
      </c>
      <c r="C84" s="251">
        <v>1432</v>
      </c>
      <c r="D84" s="254">
        <v>0</v>
      </c>
      <c r="E84" s="254">
        <v>1432</v>
      </c>
      <c r="F84" s="254">
        <v>840</v>
      </c>
      <c r="G84" s="238">
        <v>592</v>
      </c>
      <c r="H84" s="254">
        <v>0</v>
      </c>
      <c r="I84" s="238">
        <v>249.97749744289092</v>
      </c>
      <c r="J84" s="254">
        <v>0</v>
      </c>
      <c r="K84" s="238">
        <v>0</v>
      </c>
      <c r="L84" s="254">
        <v>0</v>
      </c>
      <c r="M84" s="238">
        <v>0</v>
      </c>
      <c r="N84" s="254">
        <v>0</v>
      </c>
      <c r="O84" s="238">
        <v>0</v>
      </c>
      <c r="P84" s="254">
        <v>137.28761371588527</v>
      </c>
      <c r="Q84" s="238">
        <v>190.39888033589912</v>
      </c>
      <c r="R84" s="254">
        <v>25.05248425472352</v>
      </c>
      <c r="S84" s="254">
        <v>9.018894331700489</v>
      </c>
      <c r="T84" s="238">
        <v>7.014695591322603</v>
      </c>
      <c r="U84" s="254">
        <v>0</v>
      </c>
      <c r="V84" s="238">
        <v>0</v>
      </c>
      <c r="W84" s="254">
        <v>46.06433566433571</v>
      </c>
      <c r="X84" s="248">
        <v>0</v>
      </c>
      <c r="Y84" s="248">
        <v>195.01206880413</v>
      </c>
      <c r="Z84" s="248">
        <v>0</v>
      </c>
      <c r="AA84" s="241">
        <v>0</v>
      </c>
      <c r="AB84" s="58">
        <f t="shared" si="77"/>
        <v>0</v>
      </c>
      <c r="AC84" s="59">
        <f t="shared" si="78"/>
        <v>3465284.9591794247</v>
      </c>
      <c r="AD84" s="59">
        <f t="shared" si="79"/>
        <v>2791084.9200586327</v>
      </c>
      <c r="AE84" s="59">
        <f t="shared" si="80"/>
        <v>0</v>
      </c>
      <c r="AF84" s="59">
        <f t="shared" si="81"/>
        <v>324263.3103579948</v>
      </c>
      <c r="AG84" s="59">
        <f t="shared" si="82"/>
        <v>0</v>
      </c>
      <c r="AH84" s="59">
        <f t="shared" si="83"/>
        <v>0</v>
      </c>
      <c r="AI84" s="59">
        <f t="shared" si="84"/>
        <v>0</v>
      </c>
      <c r="AJ84" s="59">
        <f t="shared" si="85"/>
        <v>0</v>
      </c>
      <c r="AK84" s="59">
        <f t="shared" si="86"/>
        <v>0</v>
      </c>
      <c r="AL84" s="59">
        <f t="shared" si="87"/>
        <v>0</v>
      </c>
      <c r="AM84" s="59">
        <f t="shared" si="88"/>
        <v>11618.65074877537</v>
      </c>
      <c r="AN84" s="59">
        <f t="shared" si="89"/>
        <v>32226.914485654284</v>
      </c>
      <c r="AO84" s="59">
        <f t="shared" si="90"/>
        <v>6360.575227431754</v>
      </c>
      <c r="AP84" s="59">
        <f t="shared" si="91"/>
        <v>3053.0761091672493</v>
      </c>
      <c r="AQ84" s="59">
        <f t="shared" si="92"/>
        <v>2968.268439468159</v>
      </c>
      <c r="AR84" s="256">
        <f t="shared" si="93"/>
        <v>0</v>
      </c>
      <c r="AS84" s="245">
        <f t="shared" si="94"/>
        <v>0</v>
      </c>
      <c r="AT84" s="254">
        <f t="shared" si="95"/>
        <v>51299.086769230824</v>
      </c>
      <c r="AU84" s="236">
        <f t="shared" si="96"/>
        <v>0</v>
      </c>
      <c r="AV84" s="59">
        <f t="shared" si="97"/>
        <v>321769.9135268145</v>
      </c>
      <c r="AW84" s="59">
        <f t="shared" si="98"/>
        <v>0</v>
      </c>
      <c r="AX84" s="59">
        <f t="shared" si="99"/>
        <v>0</v>
      </c>
      <c r="AY84" s="256">
        <v>140000</v>
      </c>
      <c r="AZ84" s="258">
        <v>33750</v>
      </c>
      <c r="BA84" s="258">
        <v>5682.5</v>
      </c>
      <c r="BB84" s="236"/>
      <c r="BC84" s="59"/>
      <c r="BD84" s="60">
        <v>0</v>
      </c>
      <c r="BE84" s="58">
        <f t="shared" si="100"/>
        <v>6256369.879238058</v>
      </c>
      <c r="BF84" s="59">
        <f t="shared" si="101"/>
        <v>753559.795664537</v>
      </c>
      <c r="BG84" s="59">
        <f t="shared" si="102"/>
        <v>179432.5</v>
      </c>
      <c r="BH84" s="60">
        <f t="shared" si="103"/>
        <v>321769.9135268145</v>
      </c>
      <c r="BI84" s="34">
        <f t="shared" si="104"/>
        <v>7189362.174902595</v>
      </c>
      <c r="BJ84" s="59">
        <f t="shared" si="105"/>
        <v>0</v>
      </c>
      <c r="BK84" s="60">
        <f t="shared" si="106"/>
        <v>7189362.174902595</v>
      </c>
      <c r="BL84" s="58">
        <f t="shared" si="107"/>
        <v>7009929.674902595</v>
      </c>
      <c r="BM84" s="59">
        <v>4895.206116867443</v>
      </c>
      <c r="BN84" s="59">
        <v>4732.740462143826</v>
      </c>
      <c r="BO84" s="33">
        <f t="shared" si="108"/>
        <v>0.03432802961057007</v>
      </c>
      <c r="BP84" s="204">
        <f t="shared" si="109"/>
        <v>0</v>
      </c>
      <c r="BQ84" s="60">
        <f t="shared" si="110"/>
        <v>0</v>
      </c>
      <c r="BR84" s="205">
        <f t="shared" si="111"/>
        <v>7189362.174902595</v>
      </c>
      <c r="BS84" s="91">
        <v>0</v>
      </c>
      <c r="BT84" s="91"/>
      <c r="BU84" s="97">
        <f t="shared" si="112"/>
        <v>7189362.174902595</v>
      </c>
      <c r="BV84" s="10"/>
      <c r="BW84" s="116"/>
      <c r="BX84" s="385"/>
      <c r="BY84" s="23"/>
      <c r="BZ84" s="23"/>
      <c r="CA84" s="225">
        <f>VLOOKUP(A84,'Top Up SEN'!A:E,5,0)</f>
        <v>76700</v>
      </c>
      <c r="CB84" s="225">
        <f>VLOOKUP(A84,'2% threshold'!A:H,8,0)</f>
        <v>0</v>
      </c>
      <c r="CC84" s="212"/>
      <c r="CD84" s="433"/>
      <c r="CE84" s="433"/>
      <c r="CF84" s="433"/>
      <c r="CG84" s="433"/>
      <c r="CH84" s="433"/>
      <c r="CI84" s="433"/>
      <c r="CJ84" s="433"/>
      <c r="CK84" s="433"/>
    </row>
    <row r="85" spans="1:89" ht="15">
      <c r="A85" s="37">
        <v>5402</v>
      </c>
      <c r="B85" s="115" t="s">
        <v>101</v>
      </c>
      <c r="C85" s="251">
        <v>913</v>
      </c>
      <c r="D85" s="254">
        <v>0</v>
      </c>
      <c r="E85" s="254">
        <v>913</v>
      </c>
      <c r="F85" s="254">
        <v>547</v>
      </c>
      <c r="G85" s="238">
        <v>366</v>
      </c>
      <c r="H85" s="254">
        <v>0</v>
      </c>
      <c r="I85" s="238">
        <v>106.76612021857923</v>
      </c>
      <c r="J85" s="254">
        <v>0</v>
      </c>
      <c r="K85" s="238">
        <v>0</v>
      </c>
      <c r="L85" s="254">
        <v>0</v>
      </c>
      <c r="M85" s="238">
        <v>0</v>
      </c>
      <c r="N85" s="254">
        <v>0</v>
      </c>
      <c r="O85" s="238">
        <v>0</v>
      </c>
      <c r="P85" s="254">
        <v>89.00000000000003</v>
      </c>
      <c r="Q85" s="238">
        <v>25.999999999999996</v>
      </c>
      <c r="R85" s="254">
        <v>13.99999999999999</v>
      </c>
      <c r="S85" s="254">
        <v>1.000000000000002</v>
      </c>
      <c r="T85" s="238">
        <v>2.9999999999999964</v>
      </c>
      <c r="U85" s="254">
        <v>0</v>
      </c>
      <c r="V85" s="238">
        <v>0</v>
      </c>
      <c r="W85" s="254">
        <v>12.000000000000005</v>
      </c>
      <c r="X85" s="248">
        <v>0</v>
      </c>
      <c r="Y85" s="248">
        <v>150.39580864004972</v>
      </c>
      <c r="Z85" s="248">
        <v>0</v>
      </c>
      <c r="AA85" s="241">
        <v>0</v>
      </c>
      <c r="AB85" s="58">
        <f t="shared" si="77"/>
        <v>0</v>
      </c>
      <c r="AC85" s="59">
        <f t="shared" si="78"/>
        <v>2256560.5627037445</v>
      </c>
      <c r="AD85" s="59">
        <f t="shared" si="79"/>
        <v>1725569.3931443575</v>
      </c>
      <c r="AE85" s="59">
        <f t="shared" si="80"/>
        <v>0</v>
      </c>
      <c r="AF85" s="59">
        <f t="shared" si="81"/>
        <v>138493.80816393442</v>
      </c>
      <c r="AG85" s="59">
        <f t="shared" si="82"/>
        <v>0</v>
      </c>
      <c r="AH85" s="59">
        <f t="shared" si="83"/>
        <v>0</v>
      </c>
      <c r="AI85" s="59">
        <f t="shared" si="84"/>
        <v>0</v>
      </c>
      <c r="AJ85" s="59">
        <f t="shared" si="85"/>
        <v>0</v>
      </c>
      <c r="AK85" s="59">
        <f t="shared" si="86"/>
        <v>0</v>
      </c>
      <c r="AL85" s="59">
        <f t="shared" si="87"/>
        <v>0</v>
      </c>
      <c r="AM85" s="59">
        <f t="shared" si="88"/>
        <v>7532.070000000002</v>
      </c>
      <c r="AN85" s="59">
        <f t="shared" si="89"/>
        <v>4400.759999999999</v>
      </c>
      <c r="AO85" s="59">
        <f t="shared" si="90"/>
        <v>3554.4599999999973</v>
      </c>
      <c r="AP85" s="59">
        <f t="shared" si="91"/>
        <v>338.52000000000066</v>
      </c>
      <c r="AQ85" s="59">
        <f t="shared" si="92"/>
        <v>1269.4499999999985</v>
      </c>
      <c r="AR85" s="256">
        <f t="shared" si="93"/>
        <v>0</v>
      </c>
      <c r="AS85" s="245">
        <f t="shared" si="94"/>
        <v>0</v>
      </c>
      <c r="AT85" s="254">
        <f t="shared" si="95"/>
        <v>13363.680000000008</v>
      </c>
      <c r="AU85" s="236">
        <f t="shared" si="96"/>
        <v>0</v>
      </c>
      <c r="AV85" s="59">
        <f t="shared" si="97"/>
        <v>248153.08425608205</v>
      </c>
      <c r="AW85" s="59">
        <f t="shared" si="98"/>
        <v>0</v>
      </c>
      <c r="AX85" s="59">
        <f t="shared" si="99"/>
        <v>0</v>
      </c>
      <c r="AY85" s="256">
        <v>140000</v>
      </c>
      <c r="AZ85" s="258">
        <v>29750</v>
      </c>
      <c r="BA85" s="258">
        <v>1190.5</v>
      </c>
      <c r="BB85" s="236"/>
      <c r="BC85" s="59"/>
      <c r="BD85" s="60">
        <v>0</v>
      </c>
      <c r="BE85" s="58">
        <f t="shared" si="100"/>
        <v>3982129.955848102</v>
      </c>
      <c r="BF85" s="59">
        <f t="shared" si="101"/>
        <v>417105.8324200165</v>
      </c>
      <c r="BG85" s="59">
        <f t="shared" si="102"/>
        <v>170940.5</v>
      </c>
      <c r="BH85" s="60">
        <f t="shared" si="103"/>
        <v>248153.08425608205</v>
      </c>
      <c r="BI85" s="34">
        <f t="shared" si="104"/>
        <v>4570176.288268118</v>
      </c>
      <c r="BJ85" s="59">
        <f t="shared" si="105"/>
        <v>0</v>
      </c>
      <c r="BK85" s="60">
        <f t="shared" si="106"/>
        <v>4570176.288268118</v>
      </c>
      <c r="BL85" s="58">
        <f t="shared" si="107"/>
        <v>4399235.788268118</v>
      </c>
      <c r="BM85" s="59">
        <v>4818.442643048015</v>
      </c>
      <c r="BN85" s="59">
        <v>4657.900706411699</v>
      </c>
      <c r="BO85" s="33">
        <f t="shared" si="108"/>
        <v>0.03446658629183042</v>
      </c>
      <c r="BP85" s="204">
        <f t="shared" si="109"/>
        <v>0</v>
      </c>
      <c r="BQ85" s="60">
        <f t="shared" si="110"/>
        <v>0</v>
      </c>
      <c r="BR85" s="205">
        <f t="shared" si="111"/>
        <v>4570176.288268118</v>
      </c>
      <c r="BS85" s="91">
        <v>0</v>
      </c>
      <c r="BT85" s="91"/>
      <c r="BU85" s="97">
        <f t="shared" si="112"/>
        <v>4570176.288268118</v>
      </c>
      <c r="BV85" s="10"/>
      <c r="BW85" s="116"/>
      <c r="BX85" s="385"/>
      <c r="BY85" s="23"/>
      <c r="BZ85" s="23"/>
      <c r="CA85" s="225">
        <f>VLOOKUP(A85,'Top Up SEN'!A:E,5,0)</f>
        <v>138774</v>
      </c>
      <c r="CB85" s="225">
        <f>VLOOKUP(A85,'2% threshold'!A:H,8,0)</f>
        <v>18000</v>
      </c>
      <c r="CC85" s="212"/>
      <c r="CD85" s="433"/>
      <c r="CE85" s="433"/>
      <c r="CF85" s="433"/>
      <c r="CG85" s="433"/>
      <c r="CH85" s="433"/>
      <c r="CI85" s="433"/>
      <c r="CJ85" s="433"/>
      <c r="CK85" s="433"/>
    </row>
    <row r="86" spans="1:89" ht="15">
      <c r="A86" s="37">
        <v>5403</v>
      </c>
      <c r="B86" s="10" t="s">
        <v>48</v>
      </c>
      <c r="C86" s="251">
        <v>1195</v>
      </c>
      <c r="D86" s="254">
        <v>0</v>
      </c>
      <c r="E86" s="254">
        <v>1195</v>
      </c>
      <c r="F86" s="254">
        <v>719</v>
      </c>
      <c r="G86" s="238">
        <v>476</v>
      </c>
      <c r="H86" s="254">
        <v>0</v>
      </c>
      <c r="I86" s="238">
        <v>326.9057547956631</v>
      </c>
      <c r="J86" s="254">
        <v>0</v>
      </c>
      <c r="K86" s="238">
        <v>0</v>
      </c>
      <c r="L86" s="254">
        <v>0</v>
      </c>
      <c r="M86" s="238">
        <v>0</v>
      </c>
      <c r="N86" s="254">
        <v>0</v>
      </c>
      <c r="O86" s="238">
        <v>0</v>
      </c>
      <c r="P86" s="254">
        <v>167.99999999999952</v>
      </c>
      <c r="Q86" s="238">
        <v>188.00000000000048</v>
      </c>
      <c r="R86" s="254">
        <v>92.00000000000003</v>
      </c>
      <c r="S86" s="254">
        <v>9.999999999999995</v>
      </c>
      <c r="T86" s="238">
        <v>91.00000000000006</v>
      </c>
      <c r="U86" s="254">
        <v>0.9999999999999996</v>
      </c>
      <c r="V86" s="238">
        <v>0</v>
      </c>
      <c r="W86" s="254">
        <v>29.244725738396568</v>
      </c>
      <c r="X86" s="248">
        <v>0</v>
      </c>
      <c r="Y86" s="248">
        <v>273.344707572144</v>
      </c>
      <c r="Z86" s="248">
        <v>0</v>
      </c>
      <c r="AA86" s="241">
        <v>0</v>
      </c>
      <c r="AB86" s="58">
        <f t="shared" si="77"/>
        <v>0</v>
      </c>
      <c r="AC86" s="59">
        <f t="shared" si="78"/>
        <v>2966118.9114881027</v>
      </c>
      <c r="AD86" s="59">
        <f t="shared" si="79"/>
        <v>2244183.145182279</v>
      </c>
      <c r="AE86" s="59">
        <f t="shared" si="80"/>
        <v>0</v>
      </c>
      <c r="AF86" s="59">
        <f t="shared" si="81"/>
        <v>424052.3379482903</v>
      </c>
      <c r="AG86" s="59">
        <f t="shared" si="82"/>
        <v>0</v>
      </c>
      <c r="AH86" s="59">
        <f t="shared" si="83"/>
        <v>0</v>
      </c>
      <c r="AI86" s="59">
        <f t="shared" si="84"/>
        <v>0</v>
      </c>
      <c r="AJ86" s="59">
        <f t="shared" si="85"/>
        <v>0</v>
      </c>
      <c r="AK86" s="59">
        <f t="shared" si="86"/>
        <v>0</v>
      </c>
      <c r="AL86" s="59">
        <f t="shared" si="87"/>
        <v>0</v>
      </c>
      <c r="AM86" s="59">
        <f t="shared" si="88"/>
        <v>14217.839999999958</v>
      </c>
      <c r="AN86" s="59">
        <f t="shared" si="89"/>
        <v>31820.88000000008</v>
      </c>
      <c r="AO86" s="59">
        <f t="shared" si="90"/>
        <v>23357.880000000005</v>
      </c>
      <c r="AP86" s="59">
        <f t="shared" si="91"/>
        <v>3385.199999999998</v>
      </c>
      <c r="AQ86" s="59">
        <f t="shared" si="92"/>
        <v>38506.65000000002</v>
      </c>
      <c r="AR86" s="256">
        <f t="shared" si="93"/>
        <v>507.77999999999975</v>
      </c>
      <c r="AS86" s="245">
        <f t="shared" si="94"/>
        <v>0</v>
      </c>
      <c r="AT86" s="254">
        <f t="shared" si="95"/>
        <v>32568.096371307958</v>
      </c>
      <c r="AU86" s="236">
        <f t="shared" si="96"/>
        <v>0</v>
      </c>
      <c r="AV86" s="59">
        <f t="shared" si="97"/>
        <v>451018.7674940376</v>
      </c>
      <c r="AW86" s="59">
        <f t="shared" si="98"/>
        <v>0</v>
      </c>
      <c r="AX86" s="59">
        <f t="shared" si="99"/>
        <v>0</v>
      </c>
      <c r="AY86" s="256">
        <v>140000</v>
      </c>
      <c r="AZ86" s="258">
        <v>36750</v>
      </c>
      <c r="BA86" s="258">
        <v>6676.5</v>
      </c>
      <c r="BB86" s="236"/>
      <c r="BC86" s="59"/>
      <c r="BD86" s="60">
        <v>0</v>
      </c>
      <c r="BE86" s="58">
        <f t="shared" si="100"/>
        <v>5210302.056670382</v>
      </c>
      <c r="BF86" s="59">
        <f t="shared" si="101"/>
        <v>1019435.4318136359</v>
      </c>
      <c r="BG86" s="59">
        <f t="shared" si="102"/>
        <v>183426.5</v>
      </c>
      <c r="BH86" s="60">
        <f t="shared" si="103"/>
        <v>451018.7674940376</v>
      </c>
      <c r="BI86" s="34">
        <f t="shared" si="104"/>
        <v>6413163.988484018</v>
      </c>
      <c r="BJ86" s="59">
        <f t="shared" si="105"/>
        <v>0</v>
      </c>
      <c r="BK86" s="60">
        <f t="shared" si="106"/>
        <v>6413163.988484018</v>
      </c>
      <c r="BL86" s="58">
        <f t="shared" si="107"/>
        <v>6229737.488484018</v>
      </c>
      <c r="BM86" s="59">
        <v>5213.175376076609</v>
      </c>
      <c r="BN86" s="59">
        <v>5051.043584878864</v>
      </c>
      <c r="BO86" s="33">
        <f t="shared" si="108"/>
        <v>0.0320986719819867</v>
      </c>
      <c r="BP86" s="204">
        <f t="shared" si="109"/>
        <v>0</v>
      </c>
      <c r="BQ86" s="60">
        <f t="shared" si="110"/>
        <v>0</v>
      </c>
      <c r="BR86" s="205">
        <f t="shared" si="111"/>
        <v>6413163.988484018</v>
      </c>
      <c r="BS86" s="91">
        <v>0</v>
      </c>
      <c r="BT86" s="91"/>
      <c r="BU86" s="97">
        <f t="shared" si="112"/>
        <v>6413163.988484018</v>
      </c>
      <c r="BV86" s="10"/>
      <c r="BW86" s="116"/>
      <c r="BX86" s="385"/>
      <c r="BY86" s="23"/>
      <c r="BZ86" s="23"/>
      <c r="CA86" s="225">
        <f>VLOOKUP(A86,'Top Up SEN'!A:E,5,0)</f>
        <v>68158</v>
      </c>
      <c r="CB86" s="225">
        <f>VLOOKUP(A86,'2% threshold'!A:H,8,0)</f>
        <v>0</v>
      </c>
      <c r="CC86" s="212"/>
      <c r="CD86" s="433"/>
      <c r="CE86" s="433"/>
      <c r="CF86" s="433"/>
      <c r="CG86" s="433"/>
      <c r="CH86" s="433"/>
      <c r="CI86" s="433"/>
      <c r="CJ86" s="433"/>
      <c r="CK86" s="433"/>
    </row>
    <row r="87" spans="1:89" ht="15">
      <c r="A87" s="37">
        <v>5404</v>
      </c>
      <c r="B87" s="115" t="s">
        <v>49</v>
      </c>
      <c r="C87" s="251">
        <v>1054</v>
      </c>
      <c r="D87" s="254">
        <v>0</v>
      </c>
      <c r="E87" s="254">
        <v>1054</v>
      </c>
      <c r="F87" s="254">
        <v>662</v>
      </c>
      <c r="G87" s="238">
        <v>392</v>
      </c>
      <c r="H87" s="254">
        <v>0</v>
      </c>
      <c r="I87" s="238">
        <v>441.8515283842793</v>
      </c>
      <c r="J87" s="254">
        <v>0</v>
      </c>
      <c r="K87" s="238">
        <v>0</v>
      </c>
      <c r="L87" s="254">
        <v>0</v>
      </c>
      <c r="M87" s="238">
        <v>0</v>
      </c>
      <c r="N87" s="254">
        <v>0</v>
      </c>
      <c r="O87" s="238">
        <v>0</v>
      </c>
      <c r="P87" s="254">
        <v>203.9999999999998</v>
      </c>
      <c r="Q87" s="238">
        <v>303.9999999999998</v>
      </c>
      <c r="R87" s="254">
        <v>216.9999999999995</v>
      </c>
      <c r="S87" s="254">
        <v>103.00000000000006</v>
      </c>
      <c r="T87" s="238">
        <v>21.000000000000046</v>
      </c>
      <c r="U87" s="254">
        <v>0</v>
      </c>
      <c r="V87" s="238">
        <v>0</v>
      </c>
      <c r="W87" s="254">
        <v>57.49090909090904</v>
      </c>
      <c r="X87" s="248">
        <v>0</v>
      </c>
      <c r="Y87" s="248">
        <v>252.75743505273851</v>
      </c>
      <c r="Z87" s="248">
        <v>0</v>
      </c>
      <c r="AA87" s="241">
        <v>0</v>
      </c>
      <c r="AB87" s="58">
        <f t="shared" si="77"/>
        <v>0</v>
      </c>
      <c r="AC87" s="59">
        <f t="shared" si="78"/>
        <v>2730974.574972356</v>
      </c>
      <c r="AD87" s="59">
        <f t="shared" si="79"/>
        <v>1848150.8254442299</v>
      </c>
      <c r="AE87" s="59">
        <f t="shared" si="80"/>
        <v>0</v>
      </c>
      <c r="AF87" s="59">
        <f t="shared" si="81"/>
        <v>573156.5470742356</v>
      </c>
      <c r="AG87" s="59">
        <f t="shared" si="82"/>
        <v>0</v>
      </c>
      <c r="AH87" s="59">
        <f t="shared" si="83"/>
        <v>0</v>
      </c>
      <c r="AI87" s="59">
        <f t="shared" si="84"/>
        <v>0</v>
      </c>
      <c r="AJ87" s="59">
        <f t="shared" si="85"/>
        <v>0</v>
      </c>
      <c r="AK87" s="59">
        <f t="shared" si="86"/>
        <v>0</v>
      </c>
      <c r="AL87" s="59">
        <f t="shared" si="87"/>
        <v>0</v>
      </c>
      <c r="AM87" s="59">
        <f t="shared" si="88"/>
        <v>17264.519999999982</v>
      </c>
      <c r="AN87" s="59">
        <f t="shared" si="89"/>
        <v>51455.03999999996</v>
      </c>
      <c r="AO87" s="59">
        <f t="shared" si="90"/>
        <v>55094.12999999987</v>
      </c>
      <c r="AP87" s="59">
        <f t="shared" si="91"/>
        <v>34867.56000000002</v>
      </c>
      <c r="AQ87" s="59">
        <f t="shared" si="92"/>
        <v>8886.15000000002</v>
      </c>
      <c r="AR87" s="256">
        <f t="shared" si="93"/>
        <v>0</v>
      </c>
      <c r="AS87" s="245">
        <f t="shared" si="94"/>
        <v>0</v>
      </c>
      <c r="AT87" s="254">
        <f t="shared" si="95"/>
        <v>64024.17599999995</v>
      </c>
      <c r="AU87" s="236">
        <f t="shared" si="96"/>
        <v>0</v>
      </c>
      <c r="AV87" s="59">
        <f t="shared" si="97"/>
        <v>417049.76783701853</v>
      </c>
      <c r="AW87" s="59">
        <f t="shared" si="98"/>
        <v>0</v>
      </c>
      <c r="AX87" s="59">
        <f t="shared" si="99"/>
        <v>0</v>
      </c>
      <c r="AY87" s="256">
        <v>140000</v>
      </c>
      <c r="AZ87" s="258">
        <v>38750</v>
      </c>
      <c r="BA87" s="258">
        <v>1906.07</v>
      </c>
      <c r="BB87" s="236"/>
      <c r="BC87" s="59"/>
      <c r="BD87" s="60">
        <v>0</v>
      </c>
      <c r="BE87" s="58">
        <f t="shared" si="100"/>
        <v>4579125.400416587</v>
      </c>
      <c r="BF87" s="59">
        <f t="shared" si="101"/>
        <v>1221797.890911254</v>
      </c>
      <c r="BG87" s="59">
        <f t="shared" si="102"/>
        <v>180656.07</v>
      </c>
      <c r="BH87" s="60">
        <f t="shared" si="103"/>
        <v>417049.76783701853</v>
      </c>
      <c r="BI87" s="34">
        <f t="shared" si="104"/>
        <v>5981579.361327841</v>
      </c>
      <c r="BJ87" s="59">
        <f t="shared" si="105"/>
        <v>0</v>
      </c>
      <c r="BK87" s="60">
        <f t="shared" si="106"/>
        <v>5981579.361327841</v>
      </c>
      <c r="BL87" s="58">
        <f t="shared" si="107"/>
        <v>5800923.291327841</v>
      </c>
      <c r="BM87" s="59">
        <v>5503.731406714601</v>
      </c>
      <c r="BN87" s="59">
        <v>5376.485055313093</v>
      </c>
      <c r="BO87" s="33">
        <f t="shared" si="108"/>
        <v>0.0236672007998538</v>
      </c>
      <c r="BP87" s="204">
        <f t="shared" si="109"/>
        <v>0</v>
      </c>
      <c r="BQ87" s="60">
        <f t="shared" si="110"/>
        <v>0</v>
      </c>
      <c r="BR87" s="205">
        <f t="shared" si="111"/>
        <v>5981579.361327841</v>
      </c>
      <c r="BS87" s="91">
        <v>0</v>
      </c>
      <c r="BT87" s="91"/>
      <c r="BU87" s="97">
        <f t="shared" si="112"/>
        <v>5981579.361327841</v>
      </c>
      <c r="BV87" s="10"/>
      <c r="BW87" s="116"/>
      <c r="BX87" s="385"/>
      <c r="BY87" s="23"/>
      <c r="BZ87" s="23"/>
      <c r="CA87" s="225">
        <f>VLOOKUP(A87,'Top Up SEN'!A:E,5,0)</f>
        <v>92916</v>
      </c>
      <c r="CB87" s="225">
        <f>VLOOKUP(A87,'2% threshold'!A:H,8,0)</f>
        <v>0</v>
      </c>
      <c r="CC87" s="212"/>
      <c r="CD87" s="433"/>
      <c r="CE87" s="433"/>
      <c r="CF87" s="433"/>
      <c r="CG87" s="433"/>
      <c r="CH87" s="433"/>
      <c r="CI87" s="433"/>
      <c r="CJ87" s="433"/>
      <c r="CK87" s="433"/>
    </row>
    <row r="88" spans="1:89" ht="15">
      <c r="A88" s="37">
        <v>5405</v>
      </c>
      <c r="B88" s="115" t="s">
        <v>102</v>
      </c>
      <c r="C88" s="251">
        <v>672</v>
      </c>
      <c r="D88" s="254">
        <v>0</v>
      </c>
      <c r="E88" s="254">
        <v>672</v>
      </c>
      <c r="F88" s="254">
        <v>483</v>
      </c>
      <c r="G88" s="238">
        <v>189</v>
      </c>
      <c r="H88" s="254">
        <v>0</v>
      </c>
      <c r="I88" s="238">
        <v>206.21587867975026</v>
      </c>
      <c r="J88" s="254">
        <v>0</v>
      </c>
      <c r="K88" s="238">
        <v>0</v>
      </c>
      <c r="L88" s="254">
        <v>0</v>
      </c>
      <c r="M88" s="238">
        <v>0</v>
      </c>
      <c r="N88" s="254">
        <v>0</v>
      </c>
      <c r="O88" s="238">
        <v>0</v>
      </c>
      <c r="P88" s="254">
        <v>130.99999999999986</v>
      </c>
      <c r="Q88" s="238">
        <v>112.00000000000021</v>
      </c>
      <c r="R88" s="254">
        <v>8.999999999999972</v>
      </c>
      <c r="S88" s="254">
        <v>15.999999999999995</v>
      </c>
      <c r="T88" s="238">
        <v>3.9999999999999987</v>
      </c>
      <c r="U88" s="254">
        <v>2.0000000000000027</v>
      </c>
      <c r="V88" s="238">
        <v>0</v>
      </c>
      <c r="W88" s="254">
        <v>44.000000000000014</v>
      </c>
      <c r="X88" s="248">
        <v>0</v>
      </c>
      <c r="Y88" s="248">
        <v>181.46263563466505</v>
      </c>
      <c r="Z88" s="248">
        <v>0</v>
      </c>
      <c r="AA88" s="241">
        <v>1.7999999999997045</v>
      </c>
      <c r="AB88" s="58">
        <f t="shared" si="77"/>
        <v>0</v>
      </c>
      <c r="AC88" s="59">
        <f t="shared" si="78"/>
        <v>1992538.8515281691</v>
      </c>
      <c r="AD88" s="59">
        <f t="shared" si="79"/>
        <v>891072.7194106109</v>
      </c>
      <c r="AE88" s="59">
        <f t="shared" si="80"/>
        <v>0</v>
      </c>
      <c r="AF88" s="59">
        <f t="shared" si="81"/>
        <v>267497.05134701164</v>
      </c>
      <c r="AG88" s="59">
        <f t="shared" si="82"/>
        <v>0</v>
      </c>
      <c r="AH88" s="59">
        <f t="shared" si="83"/>
        <v>0</v>
      </c>
      <c r="AI88" s="59">
        <f t="shared" si="84"/>
        <v>0</v>
      </c>
      <c r="AJ88" s="59">
        <f t="shared" si="85"/>
        <v>0</v>
      </c>
      <c r="AK88" s="59">
        <f t="shared" si="86"/>
        <v>0</v>
      </c>
      <c r="AL88" s="59">
        <f t="shared" si="87"/>
        <v>0</v>
      </c>
      <c r="AM88" s="59">
        <f t="shared" si="88"/>
        <v>11086.529999999988</v>
      </c>
      <c r="AN88" s="59">
        <f t="shared" si="89"/>
        <v>18957.120000000035</v>
      </c>
      <c r="AO88" s="59">
        <f t="shared" si="90"/>
        <v>2285.0099999999925</v>
      </c>
      <c r="AP88" s="59">
        <f t="shared" si="91"/>
        <v>5416.319999999998</v>
      </c>
      <c r="AQ88" s="59">
        <f t="shared" si="92"/>
        <v>1692.5999999999995</v>
      </c>
      <c r="AR88" s="256">
        <f t="shared" si="93"/>
        <v>1015.5600000000013</v>
      </c>
      <c r="AS88" s="245">
        <f t="shared" si="94"/>
        <v>0</v>
      </c>
      <c r="AT88" s="254">
        <f t="shared" si="95"/>
        <v>49000.16000000002</v>
      </c>
      <c r="AU88" s="236">
        <f t="shared" si="96"/>
        <v>0</v>
      </c>
      <c r="AV88" s="59">
        <f t="shared" si="97"/>
        <v>299413.34879719734</v>
      </c>
      <c r="AW88" s="59">
        <f t="shared" si="98"/>
        <v>0</v>
      </c>
      <c r="AX88" s="59">
        <f t="shared" si="99"/>
        <v>2159.9999999996453</v>
      </c>
      <c r="AY88" s="256">
        <v>140000</v>
      </c>
      <c r="AZ88" s="258">
        <v>61907.46</v>
      </c>
      <c r="BA88" s="258">
        <v>37907.45</v>
      </c>
      <c r="BB88" s="236"/>
      <c r="BC88" s="59"/>
      <c r="BD88" s="60">
        <v>0</v>
      </c>
      <c r="BE88" s="58">
        <f t="shared" si="100"/>
        <v>2883611.57093878</v>
      </c>
      <c r="BF88" s="59">
        <f t="shared" si="101"/>
        <v>658523.7001442086</v>
      </c>
      <c r="BG88" s="59">
        <f t="shared" si="102"/>
        <v>239814.90999999997</v>
      </c>
      <c r="BH88" s="60">
        <f t="shared" si="103"/>
        <v>299413.34879719734</v>
      </c>
      <c r="BI88" s="34">
        <f t="shared" si="104"/>
        <v>3781950.1810829886</v>
      </c>
      <c r="BJ88" s="59">
        <f t="shared" si="105"/>
        <v>0</v>
      </c>
      <c r="BK88" s="60">
        <f t="shared" si="106"/>
        <v>3781950.1810829886</v>
      </c>
      <c r="BL88" s="58">
        <f t="shared" si="107"/>
        <v>3542135.2710829885</v>
      </c>
      <c r="BM88" s="59">
        <v>5271.041350477857</v>
      </c>
      <c r="BN88" s="59">
        <v>5955.221258866544</v>
      </c>
      <c r="BO88" s="33">
        <f t="shared" si="108"/>
        <v>-0.11488740361578219</v>
      </c>
      <c r="BP88" s="204">
        <f t="shared" si="109"/>
        <v>0.09988740361578219</v>
      </c>
      <c r="BQ88" s="60">
        <f t="shared" si="110"/>
        <v>399740.26814782305</v>
      </c>
      <c r="BR88" s="205">
        <f t="shared" si="111"/>
        <v>4181690.4492308116</v>
      </c>
      <c r="BS88" s="91">
        <v>0</v>
      </c>
      <c r="BT88" s="91"/>
      <c r="BU88" s="97">
        <f t="shared" si="112"/>
        <v>4181690.4492308116</v>
      </c>
      <c r="BV88" s="10"/>
      <c r="BW88" s="116"/>
      <c r="BX88" s="385"/>
      <c r="BY88" s="23">
        <v>63160</v>
      </c>
      <c r="BZ88" s="23">
        <v>43865</v>
      </c>
      <c r="CA88" s="225">
        <f>VLOOKUP(A88,'Top Up SEN'!A:E,5,0)</f>
        <v>29458</v>
      </c>
      <c r="CB88" s="225">
        <f>VLOOKUP(A88,'2% threshold'!A:H,8,0)</f>
        <v>0</v>
      </c>
      <c r="CC88" s="212"/>
      <c r="CD88" s="433"/>
      <c r="CE88" s="433"/>
      <c r="CF88" s="433"/>
      <c r="CG88" s="433"/>
      <c r="CH88" s="433"/>
      <c r="CI88" s="433"/>
      <c r="CJ88" s="433"/>
      <c r="CK88" s="433"/>
    </row>
    <row r="89" spans="1:89" ht="15">
      <c r="A89" s="37">
        <v>5406</v>
      </c>
      <c r="B89" s="10" t="s">
        <v>50</v>
      </c>
      <c r="C89" s="251">
        <v>614</v>
      </c>
      <c r="D89" s="254">
        <v>0</v>
      </c>
      <c r="E89" s="254">
        <v>614</v>
      </c>
      <c r="F89" s="254">
        <v>455</v>
      </c>
      <c r="G89" s="238">
        <v>159</v>
      </c>
      <c r="H89" s="254">
        <v>0</v>
      </c>
      <c r="I89" s="238">
        <v>260.2384105960265</v>
      </c>
      <c r="J89" s="254">
        <v>0</v>
      </c>
      <c r="K89" s="238">
        <v>0</v>
      </c>
      <c r="L89" s="254">
        <v>0</v>
      </c>
      <c r="M89" s="238">
        <v>0</v>
      </c>
      <c r="N89" s="254">
        <v>0</v>
      </c>
      <c r="O89" s="238">
        <v>0</v>
      </c>
      <c r="P89" s="254">
        <v>143.46732026143775</v>
      </c>
      <c r="Q89" s="238">
        <v>151.49346405228766</v>
      </c>
      <c r="R89" s="254">
        <v>216.70588235294102</v>
      </c>
      <c r="S89" s="254">
        <v>24.07843137254902</v>
      </c>
      <c r="T89" s="238">
        <v>6.019607843137255</v>
      </c>
      <c r="U89" s="254">
        <v>0</v>
      </c>
      <c r="V89" s="238">
        <v>0</v>
      </c>
      <c r="W89" s="254">
        <v>42.068515497552994</v>
      </c>
      <c r="X89" s="248">
        <v>0</v>
      </c>
      <c r="Y89" s="248">
        <v>172.6341202260382</v>
      </c>
      <c r="Z89" s="248">
        <v>0</v>
      </c>
      <c r="AA89" s="241">
        <v>0</v>
      </c>
      <c r="AB89" s="58">
        <f t="shared" si="77"/>
        <v>0</v>
      </c>
      <c r="AC89" s="59">
        <f t="shared" si="78"/>
        <v>1877029.352888855</v>
      </c>
      <c r="AD89" s="59">
        <f t="shared" si="79"/>
        <v>749632.6052184503</v>
      </c>
      <c r="AE89" s="59">
        <f t="shared" si="80"/>
        <v>0</v>
      </c>
      <c r="AF89" s="59">
        <f t="shared" si="81"/>
        <v>337573.4590728477</v>
      </c>
      <c r="AG89" s="59">
        <f t="shared" si="82"/>
        <v>0</v>
      </c>
      <c r="AH89" s="59">
        <f t="shared" si="83"/>
        <v>0</v>
      </c>
      <c r="AI89" s="59">
        <f t="shared" si="84"/>
        <v>0</v>
      </c>
      <c r="AJ89" s="59">
        <f t="shared" si="85"/>
        <v>0</v>
      </c>
      <c r="AK89" s="59">
        <f t="shared" si="86"/>
        <v>0</v>
      </c>
      <c r="AL89" s="59">
        <f t="shared" si="87"/>
        <v>0</v>
      </c>
      <c r="AM89" s="59">
        <f t="shared" si="88"/>
        <v>12141.639313725476</v>
      </c>
      <c r="AN89" s="59">
        <f t="shared" si="89"/>
        <v>25641.783725490208</v>
      </c>
      <c r="AO89" s="59">
        <f t="shared" si="90"/>
        <v>55019.45647058819</v>
      </c>
      <c r="AP89" s="59">
        <f t="shared" si="91"/>
        <v>8151.030588235293</v>
      </c>
      <c r="AQ89" s="59">
        <f t="shared" si="92"/>
        <v>2547.1970588235295</v>
      </c>
      <c r="AR89" s="256">
        <f t="shared" si="93"/>
        <v>0</v>
      </c>
      <c r="AS89" s="245">
        <f t="shared" si="94"/>
        <v>0</v>
      </c>
      <c r="AT89" s="254">
        <f t="shared" si="95"/>
        <v>46849.18159869492</v>
      </c>
      <c r="AU89" s="236">
        <f t="shared" si="96"/>
        <v>0</v>
      </c>
      <c r="AV89" s="59">
        <f t="shared" si="97"/>
        <v>284846.29837296304</v>
      </c>
      <c r="AW89" s="59">
        <f t="shared" si="98"/>
        <v>0</v>
      </c>
      <c r="AX89" s="59">
        <f t="shared" si="99"/>
        <v>0</v>
      </c>
      <c r="AY89" s="256">
        <v>140000</v>
      </c>
      <c r="AZ89" s="258">
        <v>28000</v>
      </c>
      <c r="BA89" s="258">
        <v>-104.22000000000116</v>
      </c>
      <c r="BB89" s="236"/>
      <c r="BC89" s="59"/>
      <c r="BD89" s="60">
        <v>0</v>
      </c>
      <c r="BE89" s="58">
        <f t="shared" si="100"/>
        <v>2626661.958107305</v>
      </c>
      <c r="BF89" s="59">
        <f t="shared" si="101"/>
        <v>772770.0462013683</v>
      </c>
      <c r="BG89" s="59">
        <f t="shared" si="102"/>
        <v>167895.78</v>
      </c>
      <c r="BH89" s="60">
        <f t="shared" si="103"/>
        <v>284846.29837296304</v>
      </c>
      <c r="BI89" s="34">
        <f t="shared" si="104"/>
        <v>3567327.7843086733</v>
      </c>
      <c r="BJ89" s="59">
        <f t="shared" si="105"/>
        <v>0</v>
      </c>
      <c r="BK89" s="60">
        <f t="shared" si="106"/>
        <v>3567327.7843086733</v>
      </c>
      <c r="BL89" s="58">
        <f t="shared" si="107"/>
        <v>3399432.0043086736</v>
      </c>
      <c r="BM89" s="59">
        <v>5536.543489915533</v>
      </c>
      <c r="BN89" s="59">
        <v>6447.200776782754</v>
      </c>
      <c r="BO89" s="33">
        <f t="shared" si="108"/>
        <v>-0.14124847641578356</v>
      </c>
      <c r="BP89" s="204">
        <f t="shared" si="109"/>
        <v>0.12624847641578357</v>
      </c>
      <c r="BQ89" s="60">
        <f t="shared" si="110"/>
        <v>499764.8549823041</v>
      </c>
      <c r="BR89" s="205">
        <f t="shared" si="111"/>
        <v>4067092.6392909773</v>
      </c>
      <c r="BS89" s="91">
        <v>0</v>
      </c>
      <c r="BT89" s="91"/>
      <c r="BU89" s="97">
        <f t="shared" si="112"/>
        <v>4067092.6392909773</v>
      </c>
      <c r="BV89" s="10"/>
      <c r="BW89" s="116"/>
      <c r="BX89" s="385"/>
      <c r="BY89" s="23"/>
      <c r="BZ89" s="23"/>
      <c r="CA89" s="225">
        <f>VLOOKUP(A89,'Top Up SEN'!A:E,5,0)</f>
        <v>80249</v>
      </c>
      <c r="CB89" s="225">
        <f>VLOOKUP(A89,'2% threshold'!A:H,8,0)</f>
        <v>0</v>
      </c>
      <c r="CC89" s="212"/>
      <c r="CD89" s="433"/>
      <c r="CE89" s="433"/>
      <c r="CF89" s="433"/>
      <c r="CG89" s="433"/>
      <c r="CH89" s="433"/>
      <c r="CI89" s="433"/>
      <c r="CJ89" s="433"/>
      <c r="CK89" s="433"/>
    </row>
    <row r="90" spans="1:89" ht="15">
      <c r="A90" s="37">
        <v>5407</v>
      </c>
      <c r="B90" s="115" t="s">
        <v>51</v>
      </c>
      <c r="C90" s="251">
        <v>344</v>
      </c>
      <c r="D90" s="254">
        <v>0</v>
      </c>
      <c r="E90" s="254">
        <v>344</v>
      </c>
      <c r="F90" s="254">
        <v>269</v>
      </c>
      <c r="G90" s="238">
        <v>75</v>
      </c>
      <c r="H90" s="254">
        <v>0</v>
      </c>
      <c r="I90" s="238">
        <v>146.74125874125875</v>
      </c>
      <c r="J90" s="254">
        <v>0</v>
      </c>
      <c r="K90" s="238">
        <v>0</v>
      </c>
      <c r="L90" s="254">
        <v>0</v>
      </c>
      <c r="M90" s="238">
        <v>0</v>
      </c>
      <c r="N90" s="254">
        <v>0</v>
      </c>
      <c r="O90" s="238">
        <v>0</v>
      </c>
      <c r="P90" s="254">
        <v>73.99999999999984</v>
      </c>
      <c r="Q90" s="238">
        <v>88.99999999999994</v>
      </c>
      <c r="R90" s="254">
        <v>74.99999999999983</v>
      </c>
      <c r="S90" s="254">
        <v>19.99999999999999</v>
      </c>
      <c r="T90" s="238">
        <v>10.000000000000012</v>
      </c>
      <c r="U90" s="254">
        <v>0</v>
      </c>
      <c r="V90" s="238">
        <v>0</v>
      </c>
      <c r="W90" s="254">
        <v>73.99999999999984</v>
      </c>
      <c r="X90" s="248">
        <v>0</v>
      </c>
      <c r="Y90" s="248">
        <v>110.32774609461987</v>
      </c>
      <c r="Z90" s="248">
        <v>0</v>
      </c>
      <c r="AA90" s="241">
        <v>24.600000000000083</v>
      </c>
      <c r="AB90" s="58">
        <f t="shared" si="77"/>
        <v>0</v>
      </c>
      <c r="AC90" s="59">
        <f t="shared" si="78"/>
        <v>1109716.2547848395</v>
      </c>
      <c r="AD90" s="59">
        <f t="shared" si="79"/>
        <v>353600.28548040113</v>
      </c>
      <c r="AE90" s="59">
        <f t="shared" si="80"/>
        <v>0</v>
      </c>
      <c r="AF90" s="59">
        <f t="shared" si="81"/>
        <v>190348.35860139862</v>
      </c>
      <c r="AG90" s="59">
        <f t="shared" si="82"/>
        <v>0</v>
      </c>
      <c r="AH90" s="59">
        <f t="shared" si="83"/>
        <v>0</v>
      </c>
      <c r="AI90" s="59">
        <f t="shared" si="84"/>
        <v>0</v>
      </c>
      <c r="AJ90" s="59">
        <f t="shared" si="85"/>
        <v>0</v>
      </c>
      <c r="AK90" s="59">
        <f t="shared" si="86"/>
        <v>0</v>
      </c>
      <c r="AL90" s="59">
        <f t="shared" si="87"/>
        <v>0</v>
      </c>
      <c r="AM90" s="59">
        <f t="shared" si="88"/>
        <v>6262.619999999986</v>
      </c>
      <c r="AN90" s="59">
        <f t="shared" si="89"/>
        <v>15064.13999999999</v>
      </c>
      <c r="AO90" s="59">
        <f t="shared" si="90"/>
        <v>19041.749999999956</v>
      </c>
      <c r="AP90" s="59">
        <f t="shared" si="91"/>
        <v>6770.399999999996</v>
      </c>
      <c r="AQ90" s="59">
        <f t="shared" si="92"/>
        <v>4231.5000000000055</v>
      </c>
      <c r="AR90" s="256">
        <f t="shared" si="93"/>
        <v>0</v>
      </c>
      <c r="AS90" s="245">
        <f t="shared" si="94"/>
        <v>0</v>
      </c>
      <c r="AT90" s="254">
        <f t="shared" si="95"/>
        <v>82409.35999999984</v>
      </c>
      <c r="AU90" s="236">
        <f t="shared" si="96"/>
        <v>0</v>
      </c>
      <c r="AV90" s="59">
        <f t="shared" si="97"/>
        <v>182040.7810561228</v>
      </c>
      <c r="AW90" s="59">
        <f t="shared" si="98"/>
        <v>0</v>
      </c>
      <c r="AX90" s="59">
        <f t="shared" si="99"/>
        <v>29520.0000000001</v>
      </c>
      <c r="AY90" s="256">
        <v>140000</v>
      </c>
      <c r="AZ90" s="258">
        <v>14900</v>
      </c>
      <c r="BA90" s="258">
        <v>-782.9000000000015</v>
      </c>
      <c r="BB90" s="236"/>
      <c r="BC90" s="59"/>
      <c r="BD90" s="60">
        <v>0</v>
      </c>
      <c r="BE90" s="58">
        <f t="shared" si="100"/>
        <v>1463316.5402652407</v>
      </c>
      <c r="BF90" s="59">
        <f t="shared" si="101"/>
        <v>535688.9096575213</v>
      </c>
      <c r="BG90" s="59">
        <f t="shared" si="102"/>
        <v>154117.1</v>
      </c>
      <c r="BH90" s="60">
        <f t="shared" si="103"/>
        <v>182040.7810561228</v>
      </c>
      <c r="BI90" s="34">
        <f t="shared" si="104"/>
        <v>2153122.549922762</v>
      </c>
      <c r="BJ90" s="59">
        <f t="shared" si="105"/>
        <v>0</v>
      </c>
      <c r="BK90" s="60">
        <f t="shared" si="106"/>
        <v>2153122.549922762</v>
      </c>
      <c r="BL90" s="58">
        <f t="shared" si="107"/>
        <v>1999005.4499227619</v>
      </c>
      <c r="BM90" s="59">
        <v>5811.071659086349</v>
      </c>
      <c r="BN90" s="59">
        <v>5912.037861092151</v>
      </c>
      <c r="BO90" s="33">
        <f t="shared" si="108"/>
        <v>-0.017078070942385584</v>
      </c>
      <c r="BP90" s="204">
        <f t="shared" si="109"/>
        <v>0.002078070942385584</v>
      </c>
      <c r="BQ90" s="60">
        <f t="shared" si="110"/>
        <v>4226.258126760142</v>
      </c>
      <c r="BR90" s="205">
        <f t="shared" si="111"/>
        <v>2157348.8080495223</v>
      </c>
      <c r="BS90" s="91">
        <v>0</v>
      </c>
      <c r="BT90" s="91"/>
      <c r="BU90" s="97">
        <f t="shared" si="112"/>
        <v>2157348.8080495223</v>
      </c>
      <c r="BV90" s="10"/>
      <c r="BW90" s="116"/>
      <c r="BX90" s="385"/>
      <c r="BY90" s="23"/>
      <c r="BZ90" s="23"/>
      <c r="CA90" s="225">
        <f>VLOOKUP(A90,'Top Up SEN'!A:E,5,0)</f>
        <v>34158</v>
      </c>
      <c r="CB90" s="225">
        <f>VLOOKUP(A90,'2% threshold'!A:H,8,0)</f>
        <v>0</v>
      </c>
      <c r="CC90" s="212"/>
      <c r="CD90" s="433"/>
      <c r="CE90" s="433"/>
      <c r="CF90" s="433"/>
      <c r="CG90" s="433"/>
      <c r="CH90" s="433"/>
      <c r="CI90" s="433"/>
      <c r="CJ90" s="433"/>
      <c r="CK90" s="433"/>
    </row>
    <row r="91" spans="1:89" ht="15">
      <c r="A91" s="37">
        <v>5408</v>
      </c>
      <c r="B91" s="115" t="s">
        <v>52</v>
      </c>
      <c r="C91" s="251">
        <v>1149</v>
      </c>
      <c r="D91" s="254">
        <v>0</v>
      </c>
      <c r="E91" s="254">
        <v>1149</v>
      </c>
      <c r="F91" s="254">
        <v>722</v>
      </c>
      <c r="G91" s="238">
        <v>427</v>
      </c>
      <c r="H91" s="254">
        <v>0</v>
      </c>
      <c r="I91" s="238">
        <v>293.5172727272727</v>
      </c>
      <c r="J91" s="254">
        <v>0</v>
      </c>
      <c r="K91" s="238">
        <v>0</v>
      </c>
      <c r="L91" s="254">
        <v>0</v>
      </c>
      <c r="M91" s="238">
        <v>0</v>
      </c>
      <c r="N91" s="254">
        <v>0</v>
      </c>
      <c r="O91" s="238">
        <v>0</v>
      </c>
      <c r="P91" s="254">
        <v>252.9999999999996</v>
      </c>
      <c r="Q91" s="238">
        <v>245.00000000000037</v>
      </c>
      <c r="R91" s="254">
        <v>165.00000000000009</v>
      </c>
      <c r="S91" s="254">
        <v>92.00000000000004</v>
      </c>
      <c r="T91" s="238">
        <v>29.99999999999996</v>
      </c>
      <c r="U91" s="254">
        <v>0.9999999999999994</v>
      </c>
      <c r="V91" s="238">
        <v>0</v>
      </c>
      <c r="W91" s="254">
        <v>43.07497820401042</v>
      </c>
      <c r="X91" s="248">
        <v>0</v>
      </c>
      <c r="Y91" s="248">
        <v>195.27734472954128</v>
      </c>
      <c r="Z91" s="248">
        <v>0</v>
      </c>
      <c r="AA91" s="241">
        <v>0</v>
      </c>
      <c r="AB91" s="58">
        <f t="shared" si="77"/>
        <v>0</v>
      </c>
      <c r="AC91" s="59">
        <f t="shared" si="78"/>
        <v>2978494.9291994576</v>
      </c>
      <c r="AD91" s="59">
        <f t="shared" si="79"/>
        <v>2013164.2920017503</v>
      </c>
      <c r="AE91" s="59">
        <f t="shared" si="80"/>
        <v>0</v>
      </c>
      <c r="AF91" s="59">
        <f t="shared" si="81"/>
        <v>380741.80066363636</v>
      </c>
      <c r="AG91" s="59">
        <f t="shared" si="82"/>
        <v>0</v>
      </c>
      <c r="AH91" s="59">
        <f t="shared" si="83"/>
        <v>0</v>
      </c>
      <c r="AI91" s="59">
        <f t="shared" si="84"/>
        <v>0</v>
      </c>
      <c r="AJ91" s="59">
        <f t="shared" si="85"/>
        <v>0</v>
      </c>
      <c r="AK91" s="59">
        <f t="shared" si="86"/>
        <v>0</v>
      </c>
      <c r="AL91" s="59">
        <f t="shared" si="87"/>
        <v>0</v>
      </c>
      <c r="AM91" s="59">
        <f t="shared" si="88"/>
        <v>21411.389999999967</v>
      </c>
      <c r="AN91" s="59">
        <f t="shared" si="89"/>
        <v>41468.70000000006</v>
      </c>
      <c r="AO91" s="59">
        <f t="shared" si="90"/>
        <v>41891.85000000002</v>
      </c>
      <c r="AP91" s="59">
        <f t="shared" si="91"/>
        <v>31143.84000000001</v>
      </c>
      <c r="AQ91" s="59">
        <f t="shared" si="92"/>
        <v>12694.499999999984</v>
      </c>
      <c r="AR91" s="256">
        <f t="shared" si="93"/>
        <v>507.7799999999997</v>
      </c>
      <c r="AS91" s="245">
        <f t="shared" si="94"/>
        <v>0</v>
      </c>
      <c r="AT91" s="254">
        <f t="shared" si="95"/>
        <v>47970.01872711417</v>
      </c>
      <c r="AU91" s="236">
        <f t="shared" si="96"/>
        <v>0</v>
      </c>
      <c r="AV91" s="59">
        <f t="shared" si="97"/>
        <v>322207.6188037431</v>
      </c>
      <c r="AW91" s="59">
        <f t="shared" si="98"/>
        <v>0</v>
      </c>
      <c r="AX91" s="59">
        <f t="shared" si="99"/>
        <v>0</v>
      </c>
      <c r="AY91" s="256">
        <v>140000</v>
      </c>
      <c r="AZ91" s="258">
        <v>29800</v>
      </c>
      <c r="BA91" s="258">
        <v>1678.19</v>
      </c>
      <c r="BB91" s="236">
        <v>100000</v>
      </c>
      <c r="BC91" s="59"/>
      <c r="BD91" s="60">
        <v>0</v>
      </c>
      <c r="BE91" s="58">
        <f t="shared" si="100"/>
        <v>4991659.2212012075</v>
      </c>
      <c r="BF91" s="59">
        <f t="shared" si="101"/>
        <v>900037.4981944938</v>
      </c>
      <c r="BG91" s="59">
        <f t="shared" si="102"/>
        <v>271478.19</v>
      </c>
      <c r="BH91" s="60">
        <f t="shared" si="103"/>
        <v>322207.6188037431</v>
      </c>
      <c r="BI91" s="34">
        <f t="shared" si="104"/>
        <v>6163174.909395701</v>
      </c>
      <c r="BJ91" s="59">
        <f t="shared" si="105"/>
        <v>0</v>
      </c>
      <c r="BK91" s="60">
        <f t="shared" si="106"/>
        <v>6163174.909395701</v>
      </c>
      <c r="BL91" s="58">
        <f t="shared" si="107"/>
        <v>5991696.719395701</v>
      </c>
      <c r="BM91" s="59">
        <v>5214.711110452917</v>
      </c>
      <c r="BN91" s="59">
        <v>5050.731458521191</v>
      </c>
      <c r="BO91" s="33">
        <f t="shared" si="108"/>
        <v>0.032466515647960784</v>
      </c>
      <c r="BP91" s="204">
        <f t="shared" si="109"/>
        <v>0</v>
      </c>
      <c r="BQ91" s="60">
        <f t="shared" si="110"/>
        <v>0</v>
      </c>
      <c r="BR91" s="205">
        <f t="shared" si="111"/>
        <v>6163174.909395701</v>
      </c>
      <c r="BS91" s="91">
        <v>0</v>
      </c>
      <c r="BT91" s="91"/>
      <c r="BU91" s="97">
        <f t="shared" si="112"/>
        <v>6163174.909395701</v>
      </c>
      <c r="BV91" s="10"/>
      <c r="BW91" s="116"/>
      <c r="BX91" s="385"/>
      <c r="BY91" s="23"/>
      <c r="BZ91" s="23"/>
      <c r="CA91" s="225">
        <f>VLOOKUP(A91,'Top Up SEN'!A:E,5,0)</f>
        <v>49341</v>
      </c>
      <c r="CB91" s="225">
        <f>VLOOKUP(A91,'2% threshold'!A:H,8,0)</f>
        <v>0</v>
      </c>
      <c r="CC91" s="212"/>
      <c r="CD91" s="433"/>
      <c r="CE91" s="433"/>
      <c r="CF91" s="433"/>
      <c r="CG91" s="433"/>
      <c r="CH91" s="433"/>
      <c r="CI91" s="433"/>
      <c r="CJ91" s="433"/>
      <c r="CK91" s="433"/>
    </row>
    <row r="92" spans="1:89" ht="15">
      <c r="A92" s="37">
        <v>5410</v>
      </c>
      <c r="B92" s="10" t="s">
        <v>206</v>
      </c>
      <c r="C92" s="251">
        <v>878</v>
      </c>
      <c r="D92" s="254">
        <v>0</v>
      </c>
      <c r="E92" s="254">
        <v>878</v>
      </c>
      <c r="F92" s="254">
        <v>535</v>
      </c>
      <c r="G92" s="238">
        <v>343</v>
      </c>
      <c r="H92" s="254">
        <v>0</v>
      </c>
      <c r="I92" s="238">
        <v>281.6133032694475</v>
      </c>
      <c r="J92" s="254">
        <v>0</v>
      </c>
      <c r="K92" s="238">
        <v>0</v>
      </c>
      <c r="L92" s="254">
        <v>0</v>
      </c>
      <c r="M92" s="238">
        <v>0</v>
      </c>
      <c r="N92" s="254">
        <v>0</v>
      </c>
      <c r="O92" s="238">
        <v>0</v>
      </c>
      <c r="P92" s="254">
        <v>247.0000000000004</v>
      </c>
      <c r="Q92" s="238">
        <v>182.99999999999963</v>
      </c>
      <c r="R92" s="254">
        <v>139.00000000000043</v>
      </c>
      <c r="S92" s="254">
        <v>60.999999999999986</v>
      </c>
      <c r="T92" s="238">
        <v>11.999999999999964</v>
      </c>
      <c r="U92" s="254">
        <v>0</v>
      </c>
      <c r="V92" s="238">
        <v>0</v>
      </c>
      <c r="W92" s="254">
        <v>17.019384264538196</v>
      </c>
      <c r="X92" s="248">
        <v>0</v>
      </c>
      <c r="Y92" s="248">
        <v>148.79214329727995</v>
      </c>
      <c r="Z92" s="248">
        <v>0</v>
      </c>
      <c r="AA92" s="241">
        <v>0</v>
      </c>
      <c r="AB92" s="58">
        <f t="shared" si="77"/>
        <v>0</v>
      </c>
      <c r="AC92" s="59">
        <f t="shared" si="78"/>
        <v>2207056.491858324</v>
      </c>
      <c r="AD92" s="59">
        <f t="shared" si="79"/>
        <v>1617131.972263701</v>
      </c>
      <c r="AE92" s="59">
        <f t="shared" si="80"/>
        <v>0</v>
      </c>
      <c r="AF92" s="59">
        <f t="shared" si="81"/>
        <v>365300.32860202924</v>
      </c>
      <c r="AG92" s="59">
        <f t="shared" si="82"/>
        <v>0</v>
      </c>
      <c r="AH92" s="59">
        <f t="shared" si="83"/>
        <v>0</v>
      </c>
      <c r="AI92" s="59">
        <f t="shared" si="84"/>
        <v>0</v>
      </c>
      <c r="AJ92" s="59">
        <f t="shared" si="85"/>
        <v>0</v>
      </c>
      <c r="AK92" s="59">
        <f t="shared" si="86"/>
        <v>0</v>
      </c>
      <c r="AL92" s="59">
        <f t="shared" si="87"/>
        <v>0</v>
      </c>
      <c r="AM92" s="59">
        <f t="shared" si="88"/>
        <v>20903.610000000033</v>
      </c>
      <c r="AN92" s="59">
        <f t="shared" si="89"/>
        <v>30974.579999999936</v>
      </c>
      <c r="AO92" s="59">
        <f t="shared" si="90"/>
        <v>35290.71000000011</v>
      </c>
      <c r="AP92" s="59">
        <f t="shared" si="91"/>
        <v>20649.719999999994</v>
      </c>
      <c r="AQ92" s="59">
        <f t="shared" si="92"/>
        <v>5077.799999999985</v>
      </c>
      <c r="AR92" s="256">
        <f t="shared" si="93"/>
        <v>0</v>
      </c>
      <c r="AS92" s="245">
        <f t="shared" si="94"/>
        <v>0</v>
      </c>
      <c r="AT92" s="254">
        <f t="shared" si="95"/>
        <v>18953.46709236032</v>
      </c>
      <c r="AU92" s="236">
        <f t="shared" si="96"/>
        <v>0</v>
      </c>
      <c r="AV92" s="59">
        <f t="shared" si="97"/>
        <v>245507.0364405119</v>
      </c>
      <c r="AW92" s="59">
        <f t="shared" si="98"/>
        <v>0</v>
      </c>
      <c r="AX92" s="59">
        <f t="shared" si="99"/>
        <v>0</v>
      </c>
      <c r="AY92" s="256">
        <v>140000</v>
      </c>
      <c r="AZ92" s="258">
        <v>23875</v>
      </c>
      <c r="BA92" s="258">
        <v>3077.2</v>
      </c>
      <c r="BB92" s="236"/>
      <c r="BC92" s="59"/>
      <c r="BD92" s="60">
        <v>0</v>
      </c>
      <c r="BE92" s="58">
        <f t="shared" si="100"/>
        <v>3824188.4641220253</v>
      </c>
      <c r="BF92" s="59">
        <f t="shared" si="101"/>
        <v>742657.2521349016</v>
      </c>
      <c r="BG92" s="59">
        <f t="shared" si="102"/>
        <v>166952.2</v>
      </c>
      <c r="BH92" s="60">
        <f t="shared" si="103"/>
        <v>245507.0364405119</v>
      </c>
      <c r="BI92" s="34">
        <f t="shared" si="104"/>
        <v>4733797.916256927</v>
      </c>
      <c r="BJ92" s="59">
        <f t="shared" si="105"/>
        <v>0</v>
      </c>
      <c r="BK92" s="60">
        <f t="shared" si="106"/>
        <v>4733797.916256927</v>
      </c>
      <c r="BL92" s="58">
        <f t="shared" si="107"/>
        <v>4566845.716256927</v>
      </c>
      <c r="BM92" s="59">
        <v>5201.425794340318</v>
      </c>
      <c r="BN92" s="59">
        <v>5121.949929246343</v>
      </c>
      <c r="BO92" s="33">
        <f t="shared" si="108"/>
        <v>0.015516720427149718</v>
      </c>
      <c r="BP92" s="204">
        <f t="shared" si="109"/>
        <v>0</v>
      </c>
      <c r="BQ92" s="60">
        <f t="shared" si="110"/>
        <v>0</v>
      </c>
      <c r="BR92" s="205">
        <f t="shared" si="111"/>
        <v>4733797.916256927</v>
      </c>
      <c r="BS92" s="91">
        <v>0</v>
      </c>
      <c r="BT92" s="91"/>
      <c r="BU92" s="97">
        <f t="shared" si="112"/>
        <v>4733797.916256927</v>
      </c>
      <c r="BV92" s="10"/>
      <c r="BW92" s="116"/>
      <c r="BX92" s="385"/>
      <c r="BY92" s="23"/>
      <c r="BZ92" s="23"/>
      <c r="CA92" s="225">
        <f>VLOOKUP(A92,'Top Up SEN'!A:E,5,0)</f>
        <v>83616</v>
      </c>
      <c r="CB92" s="225">
        <f>VLOOKUP(A92,'2% threshold'!A:H,8,0)</f>
        <v>0</v>
      </c>
      <c r="CC92" s="212"/>
      <c r="CD92" s="433"/>
      <c r="CE92" s="433"/>
      <c r="CF92" s="433"/>
      <c r="CG92" s="433"/>
      <c r="CH92" s="433"/>
      <c r="CI92" s="433"/>
      <c r="CJ92" s="433"/>
      <c r="CK92" s="433"/>
    </row>
    <row r="93" spans="1:89" ht="15">
      <c r="A93" s="37">
        <v>5412</v>
      </c>
      <c r="B93" s="10" t="s">
        <v>53</v>
      </c>
      <c r="C93" s="251">
        <v>1166</v>
      </c>
      <c r="D93" s="254">
        <v>0</v>
      </c>
      <c r="E93" s="254">
        <v>1166</v>
      </c>
      <c r="F93" s="254">
        <v>699</v>
      </c>
      <c r="G93" s="238">
        <v>467</v>
      </c>
      <c r="H93" s="254">
        <v>0</v>
      </c>
      <c r="I93" s="238">
        <v>572.4729148753224</v>
      </c>
      <c r="J93" s="254">
        <v>0</v>
      </c>
      <c r="K93" s="238">
        <v>0</v>
      </c>
      <c r="L93" s="254">
        <v>0</v>
      </c>
      <c r="M93" s="238">
        <v>0</v>
      </c>
      <c r="N93" s="254">
        <v>0</v>
      </c>
      <c r="O93" s="238">
        <v>0</v>
      </c>
      <c r="P93" s="254">
        <v>291.99999999999966</v>
      </c>
      <c r="Q93" s="238">
        <v>218.00000000000045</v>
      </c>
      <c r="R93" s="254">
        <v>248.00000000000054</v>
      </c>
      <c r="S93" s="254">
        <v>169.0000000000004</v>
      </c>
      <c r="T93" s="238">
        <v>48</v>
      </c>
      <c r="U93" s="254">
        <v>0</v>
      </c>
      <c r="V93" s="238">
        <v>0</v>
      </c>
      <c r="W93" s="254">
        <v>113.38898450946644</v>
      </c>
      <c r="X93" s="248">
        <v>0</v>
      </c>
      <c r="Y93" s="248">
        <v>294.5070541382113</v>
      </c>
      <c r="Z93" s="248">
        <v>0</v>
      </c>
      <c r="AA93" s="241">
        <v>0</v>
      </c>
      <c r="AB93" s="58">
        <f t="shared" si="77"/>
        <v>0</v>
      </c>
      <c r="AC93" s="59">
        <f t="shared" si="78"/>
        <v>2883612.1267457353</v>
      </c>
      <c r="AD93" s="59">
        <f t="shared" si="79"/>
        <v>2201751.110924631</v>
      </c>
      <c r="AE93" s="59">
        <f t="shared" si="80"/>
        <v>0</v>
      </c>
      <c r="AF93" s="59">
        <f t="shared" si="81"/>
        <v>742594.690988822</v>
      </c>
      <c r="AG93" s="59">
        <f t="shared" si="82"/>
        <v>0</v>
      </c>
      <c r="AH93" s="59">
        <f t="shared" si="83"/>
        <v>0</v>
      </c>
      <c r="AI93" s="59">
        <f t="shared" si="84"/>
        <v>0</v>
      </c>
      <c r="AJ93" s="59">
        <f t="shared" si="85"/>
        <v>0</v>
      </c>
      <c r="AK93" s="59">
        <f t="shared" si="86"/>
        <v>0</v>
      </c>
      <c r="AL93" s="59">
        <f t="shared" si="87"/>
        <v>0</v>
      </c>
      <c r="AM93" s="59">
        <f t="shared" si="88"/>
        <v>24711.95999999997</v>
      </c>
      <c r="AN93" s="59">
        <f t="shared" si="89"/>
        <v>36898.68000000007</v>
      </c>
      <c r="AO93" s="59">
        <f t="shared" si="90"/>
        <v>62964.72000000013</v>
      </c>
      <c r="AP93" s="59">
        <f t="shared" si="91"/>
        <v>57209.88000000013</v>
      </c>
      <c r="AQ93" s="59">
        <f t="shared" si="92"/>
        <v>20311.199999999997</v>
      </c>
      <c r="AR93" s="256">
        <f t="shared" si="93"/>
        <v>0</v>
      </c>
      <c r="AS93" s="245">
        <f t="shared" si="94"/>
        <v>0</v>
      </c>
      <c r="AT93" s="254">
        <f t="shared" si="95"/>
        <v>126274.50870912222</v>
      </c>
      <c r="AU93" s="236">
        <f t="shared" si="96"/>
        <v>0</v>
      </c>
      <c r="AV93" s="59">
        <f t="shared" si="97"/>
        <v>485936.6393280486</v>
      </c>
      <c r="AW93" s="59">
        <f t="shared" si="98"/>
        <v>0</v>
      </c>
      <c r="AX93" s="59">
        <f t="shared" si="99"/>
        <v>0</v>
      </c>
      <c r="AY93" s="256">
        <v>140000</v>
      </c>
      <c r="AZ93" s="258">
        <v>49250</v>
      </c>
      <c r="BA93" s="258">
        <v>-43.05</v>
      </c>
      <c r="BB93" s="236"/>
      <c r="BC93" s="59">
        <v>773711</v>
      </c>
      <c r="BD93" s="60">
        <v>0</v>
      </c>
      <c r="BE93" s="58">
        <f t="shared" si="100"/>
        <v>5085363.237670366</v>
      </c>
      <c r="BF93" s="59">
        <f t="shared" si="101"/>
        <v>1556902.279025993</v>
      </c>
      <c r="BG93" s="59">
        <f t="shared" si="102"/>
        <v>962917.95</v>
      </c>
      <c r="BH93" s="60">
        <f t="shared" si="103"/>
        <v>485936.6393280486</v>
      </c>
      <c r="BI93" s="34">
        <f t="shared" si="104"/>
        <v>7605183.466696359</v>
      </c>
      <c r="BJ93" s="59">
        <f t="shared" si="105"/>
        <v>0</v>
      </c>
      <c r="BK93" s="60">
        <f t="shared" si="106"/>
        <v>7605183.466696359</v>
      </c>
      <c r="BL93" s="58">
        <f>BI93-BA93-AZ93-AY93-BD93-374000</f>
        <v>7041976.516696359</v>
      </c>
      <c r="BM93" s="59">
        <v>6360.196327013538</v>
      </c>
      <c r="BN93" s="59">
        <v>6294.8828215568865</v>
      </c>
      <c r="BO93" s="33">
        <f t="shared" si="108"/>
        <v>0.010375650716322342</v>
      </c>
      <c r="BP93" s="204">
        <f t="shared" si="109"/>
        <v>0</v>
      </c>
      <c r="BQ93" s="60">
        <f t="shared" si="110"/>
        <v>0</v>
      </c>
      <c r="BR93" s="205">
        <f t="shared" si="111"/>
        <v>7605183.466696359</v>
      </c>
      <c r="BS93" s="91">
        <v>0</v>
      </c>
      <c r="BT93" s="91"/>
      <c r="BU93" s="97">
        <f t="shared" si="112"/>
        <v>7605183.466696359</v>
      </c>
      <c r="BV93" s="10"/>
      <c r="BW93" s="116"/>
      <c r="BX93" s="385"/>
      <c r="BY93" s="23"/>
      <c r="BZ93" s="23"/>
      <c r="CA93" s="225">
        <f>VLOOKUP(A93,'Top Up SEN'!A:E,5,0)</f>
        <v>47175</v>
      </c>
      <c r="CB93" s="225">
        <f>VLOOKUP(A93,'2% threshold'!A:H,8,0)</f>
        <v>0</v>
      </c>
      <c r="CC93" s="212"/>
      <c r="CD93" s="433"/>
      <c r="CE93" s="433"/>
      <c r="CF93" s="433"/>
      <c r="CG93" s="433"/>
      <c r="CH93" s="433"/>
      <c r="CI93" s="433"/>
      <c r="CJ93" s="433"/>
      <c r="CK93" s="433"/>
    </row>
    <row r="94" spans="1:89" ht="15">
      <c r="A94" s="37">
        <v>6906</v>
      </c>
      <c r="B94" s="113" t="s">
        <v>134</v>
      </c>
      <c r="C94" s="251">
        <v>503</v>
      </c>
      <c r="D94" s="254">
        <v>0</v>
      </c>
      <c r="E94" s="254">
        <v>503</v>
      </c>
      <c r="F94" s="254">
        <v>271</v>
      </c>
      <c r="G94" s="238">
        <v>232</v>
      </c>
      <c r="H94" s="254">
        <v>0</v>
      </c>
      <c r="I94" s="238">
        <v>148.09581881533103</v>
      </c>
      <c r="J94" s="254">
        <v>0</v>
      </c>
      <c r="K94" s="238">
        <v>0</v>
      </c>
      <c r="L94" s="254">
        <v>0</v>
      </c>
      <c r="M94" s="238">
        <v>0</v>
      </c>
      <c r="N94" s="254">
        <v>0</v>
      </c>
      <c r="O94" s="238">
        <v>0</v>
      </c>
      <c r="P94" s="254">
        <v>183.00000000000003</v>
      </c>
      <c r="Q94" s="238">
        <v>62.00000000000024</v>
      </c>
      <c r="R94" s="254">
        <v>15.999999999999973</v>
      </c>
      <c r="S94" s="254">
        <v>14.999999999999995</v>
      </c>
      <c r="T94" s="238">
        <v>5.999999999999978</v>
      </c>
      <c r="U94" s="254">
        <v>0.9999999999999997</v>
      </c>
      <c r="V94" s="238">
        <v>0</v>
      </c>
      <c r="W94" s="254">
        <v>31.061752988047825</v>
      </c>
      <c r="X94" s="248">
        <v>0</v>
      </c>
      <c r="Y94" s="248">
        <v>102.7163372695569</v>
      </c>
      <c r="Z94" s="248">
        <v>0</v>
      </c>
      <c r="AA94" s="241">
        <v>0</v>
      </c>
      <c r="AB94" s="58">
        <f t="shared" si="77"/>
        <v>0</v>
      </c>
      <c r="AC94" s="59">
        <f t="shared" si="78"/>
        <v>1117966.9332590762</v>
      </c>
      <c r="AD94" s="59">
        <f t="shared" si="79"/>
        <v>1093803.5497527074</v>
      </c>
      <c r="AE94" s="59">
        <f t="shared" si="80"/>
        <v>0</v>
      </c>
      <c r="AF94" s="59">
        <f t="shared" si="81"/>
        <v>192105.45329268297</v>
      </c>
      <c r="AG94" s="59">
        <f t="shared" si="82"/>
        <v>0</v>
      </c>
      <c r="AH94" s="59">
        <f t="shared" si="83"/>
        <v>0</v>
      </c>
      <c r="AI94" s="59">
        <f t="shared" si="84"/>
        <v>0</v>
      </c>
      <c r="AJ94" s="59">
        <f t="shared" si="85"/>
        <v>0</v>
      </c>
      <c r="AK94" s="59">
        <f t="shared" si="86"/>
        <v>0</v>
      </c>
      <c r="AL94" s="59">
        <f t="shared" si="87"/>
        <v>0</v>
      </c>
      <c r="AM94" s="59">
        <f t="shared" si="88"/>
        <v>15487.29</v>
      </c>
      <c r="AN94" s="59">
        <f t="shared" si="89"/>
        <v>10494.12000000004</v>
      </c>
      <c r="AO94" s="59">
        <f t="shared" si="90"/>
        <v>4062.239999999993</v>
      </c>
      <c r="AP94" s="59">
        <f t="shared" si="91"/>
        <v>5077.799999999998</v>
      </c>
      <c r="AQ94" s="59">
        <f t="shared" si="92"/>
        <v>2538.8999999999905</v>
      </c>
      <c r="AR94" s="256">
        <f t="shared" si="93"/>
        <v>507.7799999999998</v>
      </c>
      <c r="AS94" s="245">
        <f t="shared" si="94"/>
        <v>0</v>
      </c>
      <c r="AT94" s="254">
        <f t="shared" si="95"/>
        <v>34591.610597609586</v>
      </c>
      <c r="AU94" s="236">
        <f t="shared" si="96"/>
        <v>0</v>
      </c>
      <c r="AV94" s="59">
        <f t="shared" si="97"/>
        <v>169481.95649476888</v>
      </c>
      <c r="AW94" s="59">
        <f t="shared" si="98"/>
        <v>0</v>
      </c>
      <c r="AX94" s="59">
        <f t="shared" si="99"/>
        <v>0</v>
      </c>
      <c r="AY94" s="256">
        <v>140000</v>
      </c>
      <c r="AZ94" s="258">
        <v>41750</v>
      </c>
      <c r="BA94" s="258">
        <v>-830.2200000000012</v>
      </c>
      <c r="BB94" s="236"/>
      <c r="BC94" s="59"/>
      <c r="BD94" s="60">
        <v>0</v>
      </c>
      <c r="BE94" s="58">
        <f t="shared" si="100"/>
        <v>2211770.4830117836</v>
      </c>
      <c r="BF94" s="59">
        <f t="shared" si="101"/>
        <v>434347.1503850615</v>
      </c>
      <c r="BG94" s="59">
        <f t="shared" si="102"/>
        <v>180919.78</v>
      </c>
      <c r="BH94" s="60">
        <f t="shared" si="103"/>
        <v>169481.95649476888</v>
      </c>
      <c r="BI94" s="34">
        <f t="shared" si="104"/>
        <v>2827037.413396845</v>
      </c>
      <c r="BJ94" s="59">
        <f t="shared" si="105"/>
        <v>0</v>
      </c>
      <c r="BK94" s="60">
        <f t="shared" si="106"/>
        <v>2827037.413396845</v>
      </c>
      <c r="BL94" s="58">
        <f>BI94-BA94-AZ94-AY94-BD94</f>
        <v>2646117.6333968453</v>
      </c>
      <c r="BM94" s="59">
        <v>5260.677676329342</v>
      </c>
      <c r="BN94" s="59">
        <v>5063.01730237691</v>
      </c>
      <c r="BO94" s="33">
        <f t="shared" si="108"/>
        <v>0.0390400352492647</v>
      </c>
      <c r="BP94" s="204">
        <f t="shared" si="109"/>
        <v>0</v>
      </c>
      <c r="BQ94" s="60">
        <f t="shared" si="110"/>
        <v>0</v>
      </c>
      <c r="BR94" s="205">
        <f t="shared" si="111"/>
        <v>2827037.413396845</v>
      </c>
      <c r="BS94" s="91">
        <v>0</v>
      </c>
      <c r="BT94" s="91"/>
      <c r="BU94" s="97">
        <f t="shared" si="112"/>
        <v>2827037.413396845</v>
      </c>
      <c r="BV94" s="10"/>
      <c r="BW94" s="116"/>
      <c r="BX94" s="385"/>
      <c r="BY94" s="23"/>
      <c r="BZ94" s="23"/>
      <c r="CA94" s="225">
        <f>VLOOKUP(A94,'Top Up SEN'!A:E,5,0)</f>
        <v>79916</v>
      </c>
      <c r="CB94" s="225">
        <f>VLOOKUP(A94,'2% threshold'!A:H,8,0)</f>
        <v>18000</v>
      </c>
      <c r="CC94" s="212"/>
      <c r="CD94" s="433"/>
      <c r="CE94" s="433"/>
      <c r="CF94" s="433"/>
      <c r="CG94" s="433"/>
      <c r="CH94" s="433"/>
      <c r="CI94" s="433"/>
      <c r="CJ94" s="433"/>
      <c r="CK94" s="433"/>
    </row>
    <row r="95" spans="1:89" ht="15.75" thickBot="1">
      <c r="A95" s="114">
        <v>4654</v>
      </c>
      <c r="B95" s="235" t="s">
        <v>47</v>
      </c>
      <c r="C95" s="252">
        <v>1365</v>
      </c>
      <c r="D95" s="255">
        <v>461</v>
      </c>
      <c r="E95" s="255">
        <v>904</v>
      </c>
      <c r="F95" s="255">
        <v>543</v>
      </c>
      <c r="G95" s="242">
        <v>361</v>
      </c>
      <c r="H95" s="255">
        <v>37</v>
      </c>
      <c r="I95" s="242">
        <v>162.6996625421822</v>
      </c>
      <c r="J95" s="255">
        <v>131.99999999999986</v>
      </c>
      <c r="K95" s="242">
        <v>89.99999999999994</v>
      </c>
      <c r="L95" s="255">
        <v>51.9999999999998</v>
      </c>
      <c r="M95" s="242">
        <v>25.000000000000004</v>
      </c>
      <c r="N95" s="255">
        <v>21</v>
      </c>
      <c r="O95" s="242">
        <v>0.9999999999999982</v>
      </c>
      <c r="P95" s="255">
        <v>289.99999999999983</v>
      </c>
      <c r="Q95" s="242">
        <v>164.00000000000014</v>
      </c>
      <c r="R95" s="255">
        <v>115.00000000000003</v>
      </c>
      <c r="S95" s="255">
        <v>62.00000000000002</v>
      </c>
      <c r="T95" s="242">
        <v>20.99999999999998</v>
      </c>
      <c r="U95" s="255">
        <v>1.999999999999997</v>
      </c>
      <c r="V95" s="242">
        <v>217.27930174563613</v>
      </c>
      <c r="W95" s="255">
        <v>12.999999999999975</v>
      </c>
      <c r="X95" s="249">
        <v>46.282806169487486</v>
      </c>
      <c r="Y95" s="249">
        <v>145.1309774923078</v>
      </c>
      <c r="Z95" s="249">
        <v>0</v>
      </c>
      <c r="AA95" s="243">
        <v>0</v>
      </c>
      <c r="AB95" s="63">
        <f t="shared" si="77"/>
        <v>1466677.9522165768</v>
      </c>
      <c r="AC95" s="64">
        <f t="shared" si="78"/>
        <v>2240059.205755271</v>
      </c>
      <c r="AD95" s="64">
        <f t="shared" si="79"/>
        <v>1701996.0407789974</v>
      </c>
      <c r="AE95" s="64">
        <f t="shared" si="80"/>
        <v>36920.08</v>
      </c>
      <c r="AF95" s="64">
        <f t="shared" si="81"/>
        <v>211049.1212598425</v>
      </c>
      <c r="AG95" s="64">
        <f t="shared" si="82"/>
        <v>8593.19999999999</v>
      </c>
      <c r="AH95" s="64">
        <f t="shared" si="83"/>
        <v>11717.99999999999</v>
      </c>
      <c r="AI95" s="64">
        <f t="shared" si="84"/>
        <v>10155.599999999962</v>
      </c>
      <c r="AJ95" s="64">
        <f t="shared" si="85"/>
        <v>6510</v>
      </c>
      <c r="AK95" s="64">
        <f t="shared" si="86"/>
        <v>6835.5</v>
      </c>
      <c r="AL95" s="64">
        <f t="shared" si="87"/>
        <v>390.59999999999934</v>
      </c>
      <c r="AM95" s="64">
        <f t="shared" si="88"/>
        <v>24542.699999999983</v>
      </c>
      <c r="AN95" s="64">
        <f t="shared" si="89"/>
        <v>27758.64000000002</v>
      </c>
      <c r="AO95" s="64">
        <f t="shared" si="90"/>
        <v>29197.350000000006</v>
      </c>
      <c r="AP95" s="64">
        <f t="shared" si="91"/>
        <v>20988.240000000005</v>
      </c>
      <c r="AQ95" s="64">
        <f t="shared" si="92"/>
        <v>8886.14999999999</v>
      </c>
      <c r="AR95" s="257">
        <f t="shared" si="93"/>
        <v>1015.5599999999984</v>
      </c>
      <c r="AS95" s="246">
        <f t="shared" si="94"/>
        <v>160586.78633416476</v>
      </c>
      <c r="AT95" s="255">
        <f t="shared" si="95"/>
        <v>14477.319999999974</v>
      </c>
      <c r="AU95" s="237">
        <f t="shared" si="96"/>
        <v>50911.08678643624</v>
      </c>
      <c r="AV95" s="64">
        <f t="shared" si="97"/>
        <v>239466.11286230787</v>
      </c>
      <c r="AW95" s="64">
        <f t="shared" si="98"/>
        <v>0</v>
      </c>
      <c r="AX95" s="64">
        <f t="shared" si="99"/>
        <v>0</v>
      </c>
      <c r="AY95" s="257">
        <v>140000</v>
      </c>
      <c r="AZ95" s="263">
        <v>80500</v>
      </c>
      <c r="BA95" s="263">
        <v>877.33</v>
      </c>
      <c r="BB95" s="237"/>
      <c r="BC95" s="64"/>
      <c r="BD95" s="65">
        <v>0</v>
      </c>
      <c r="BE95" s="63">
        <f t="shared" si="100"/>
        <v>5408733.198750845</v>
      </c>
      <c r="BF95" s="64">
        <f t="shared" si="101"/>
        <v>870002.0472427511</v>
      </c>
      <c r="BG95" s="64">
        <f t="shared" si="102"/>
        <v>221377.33</v>
      </c>
      <c r="BH95" s="65">
        <f t="shared" si="103"/>
        <v>290377.1996487441</v>
      </c>
      <c r="BI95" s="35">
        <f t="shared" si="104"/>
        <v>6500112.575993597</v>
      </c>
      <c r="BJ95" s="64">
        <v>1794004.8200475732</v>
      </c>
      <c r="BK95" s="65">
        <v>4424932.577835298</v>
      </c>
      <c r="BL95" s="63">
        <f>BI95-BA95-AZ95-AY95-BD95</f>
        <v>6278735.2459935965</v>
      </c>
      <c r="BM95" s="64">
        <v>4599.808581553881</v>
      </c>
      <c r="BN95" s="64">
        <v>4428.49336521418</v>
      </c>
      <c r="BO95" s="192">
        <f t="shared" si="108"/>
        <v>0.038684763013394574</v>
      </c>
      <c r="BP95" s="206">
        <f t="shared" si="109"/>
        <v>0</v>
      </c>
      <c r="BQ95" s="65">
        <f t="shared" si="110"/>
        <v>0</v>
      </c>
      <c r="BR95" s="207">
        <f t="shared" si="111"/>
        <v>6500112.575993597</v>
      </c>
      <c r="BS95" s="92">
        <v>0</v>
      </c>
      <c r="BT95" s="92"/>
      <c r="BU95" s="98">
        <f t="shared" si="112"/>
        <v>6500112.575993597</v>
      </c>
      <c r="BV95" s="111"/>
      <c r="BW95" s="117">
        <f>VLOOKUP(A95,'EYSFF Universal Hrs'!$A$159:$W$216,23,0)</f>
        <v>182664.70600151556</v>
      </c>
      <c r="BX95" s="386">
        <f>VLOOKUP(A95,'EYSFF Extended Hrs'!$A$115:$W$172,11,0)</f>
        <v>0</v>
      </c>
      <c r="BY95" s="121"/>
      <c r="BZ95" s="121"/>
      <c r="CA95" s="226">
        <f>VLOOKUP(A95,'Top Up SEN'!A:E,5,0)</f>
        <v>100983</v>
      </c>
      <c r="CB95" s="226">
        <f>VLOOKUP(A95,'2% threshold'!A:H,8,0)</f>
        <v>0</v>
      </c>
      <c r="CC95" s="212"/>
      <c r="CD95" s="435"/>
      <c r="CE95" s="435"/>
      <c r="CF95" s="435"/>
      <c r="CG95" s="435"/>
      <c r="CH95" s="435"/>
      <c r="CI95" s="435"/>
      <c r="CJ95" s="435"/>
      <c r="CK95" s="435"/>
    </row>
    <row r="96" spans="8:89" ht="13.5" thickBot="1">
      <c r="H96" s="9"/>
      <c r="BJ96" s="1"/>
      <c r="BK96" s="1"/>
      <c r="BL96" s="1"/>
      <c r="BM96" s="1"/>
      <c r="BN96" s="1"/>
      <c r="BP96" s="1"/>
      <c r="BQ96" s="1"/>
      <c r="BR96" s="208"/>
      <c r="BS96" s="1"/>
      <c r="BT96" s="1"/>
      <c r="BU96" s="6"/>
      <c r="CD96" s="184"/>
      <c r="CE96" s="184"/>
      <c r="CF96" s="184"/>
      <c r="CG96" s="184"/>
      <c r="CH96" s="184"/>
      <c r="CI96" s="184"/>
      <c r="CJ96" s="184"/>
      <c r="CK96" s="184"/>
    </row>
    <row r="97" spans="1:89" s="5" customFormat="1" ht="13.5" thickBot="1">
      <c r="A97" s="12"/>
      <c r="C97" s="264">
        <f>SUM(C5:C95)</f>
        <v>44333</v>
      </c>
      <c r="D97" s="266">
        <f aca="true" t="shared" si="113" ref="D97:BL97">SUM(D5:D95)</f>
        <v>28177</v>
      </c>
      <c r="E97" s="267">
        <f t="shared" si="113"/>
        <v>16156</v>
      </c>
      <c r="F97" s="268">
        <f t="shared" si="113"/>
        <v>9861</v>
      </c>
      <c r="G97" s="266">
        <f t="shared" si="113"/>
        <v>6295</v>
      </c>
      <c r="H97" s="267">
        <f t="shared" si="113"/>
        <v>6156.137788661587</v>
      </c>
      <c r="I97" s="267">
        <f t="shared" si="113"/>
        <v>4881.629609629768</v>
      </c>
      <c r="J97" s="268">
        <f t="shared" si="113"/>
        <v>5564.190663976946</v>
      </c>
      <c r="K97" s="266">
        <f t="shared" si="113"/>
        <v>5320.200139634441</v>
      </c>
      <c r="L97" s="266">
        <f t="shared" si="113"/>
        <v>3774.210469378411</v>
      </c>
      <c r="M97" s="266">
        <f t="shared" si="113"/>
        <v>1888.000459022347</v>
      </c>
      <c r="N97" s="267">
        <f t="shared" si="113"/>
        <v>409.09648870383216</v>
      </c>
      <c r="O97" s="268">
        <f t="shared" si="113"/>
        <v>0.9999999999999982</v>
      </c>
      <c r="P97" s="266">
        <f t="shared" si="113"/>
        <v>3196.82015905125</v>
      </c>
      <c r="Q97" s="266">
        <f t="shared" si="113"/>
        <v>2824.910275742331</v>
      </c>
      <c r="R97" s="266">
        <f t="shared" si="113"/>
        <v>2095.7585057694723</v>
      </c>
      <c r="S97" s="266">
        <f t="shared" si="113"/>
        <v>932.5813013866598</v>
      </c>
      <c r="T97" s="267">
        <f t="shared" si="113"/>
        <v>337.1735595081071</v>
      </c>
      <c r="U97" s="268">
        <f t="shared" si="113"/>
        <v>9.005154639175256</v>
      </c>
      <c r="V97" s="266">
        <f t="shared" si="113"/>
        <v>8312.838636950213</v>
      </c>
      <c r="W97" s="266">
        <f t="shared" si="113"/>
        <v>859.0212930821784</v>
      </c>
      <c r="X97" s="266">
        <f t="shared" si="113"/>
        <v>4944.569041508406</v>
      </c>
      <c r="Y97" s="266">
        <f t="shared" si="113"/>
        <v>3437.4892037576733</v>
      </c>
      <c r="Z97" s="266">
        <f t="shared" si="113"/>
        <v>395.65822784810126</v>
      </c>
      <c r="AA97" s="267">
        <f t="shared" si="113"/>
        <v>104.10000000000025</v>
      </c>
      <c r="AB97" s="268">
        <f t="shared" si="113"/>
        <v>89645519.86899453</v>
      </c>
      <c r="AC97" s="267">
        <f t="shared" si="113"/>
        <v>40679970.21722418</v>
      </c>
      <c r="AD97" s="268">
        <f t="shared" si="113"/>
        <v>29678850.627988335</v>
      </c>
      <c r="AE97" s="266">
        <f t="shared" si="113"/>
        <v>6142840.531038074</v>
      </c>
      <c r="AF97" s="266">
        <f t="shared" si="113"/>
        <v>6332303.480723445</v>
      </c>
      <c r="AG97" s="267">
        <f t="shared" si="113"/>
        <v>362228.8122248992</v>
      </c>
      <c r="AH97" s="268">
        <f t="shared" si="113"/>
        <v>692690.0581804044</v>
      </c>
      <c r="AI97" s="266">
        <f t="shared" si="113"/>
        <v>737103.3046696036</v>
      </c>
      <c r="AJ97" s="266">
        <f t="shared" si="113"/>
        <v>491635.319529419</v>
      </c>
      <c r="AK97" s="266">
        <f t="shared" si="113"/>
        <v>133160.90707309733</v>
      </c>
      <c r="AL97" s="267">
        <f t="shared" si="113"/>
        <v>390.59999999999934</v>
      </c>
      <c r="AM97" s="267">
        <f t="shared" si="113"/>
        <v>270546.8900605072</v>
      </c>
      <c r="AN97" s="268">
        <f t="shared" si="113"/>
        <v>478144.31327214703</v>
      </c>
      <c r="AO97" s="267">
        <f t="shared" si="113"/>
        <v>532092.1270298114</v>
      </c>
      <c r="AP97" s="268">
        <f t="shared" si="113"/>
        <v>315697.42214541207</v>
      </c>
      <c r="AQ97" s="266">
        <f t="shared" si="113"/>
        <v>142674.99170585547</v>
      </c>
      <c r="AR97" s="266">
        <f t="shared" si="113"/>
        <v>4572.637422680411</v>
      </c>
      <c r="AS97" s="266">
        <f t="shared" si="113"/>
        <v>6143852.779797164</v>
      </c>
      <c r="AT97" s="266">
        <f t="shared" si="113"/>
        <v>956640.4728280371</v>
      </c>
      <c r="AU97" s="266">
        <f t="shared" si="113"/>
        <v>5439025.945659247</v>
      </c>
      <c r="AV97" s="267">
        <f t="shared" si="113"/>
        <v>5671857.186200161</v>
      </c>
      <c r="AW97" s="268">
        <f t="shared" si="113"/>
        <v>316526.582278481</v>
      </c>
      <c r="AX97" s="266">
        <f t="shared" si="113"/>
        <v>124920.00000000032</v>
      </c>
      <c r="AY97" s="266">
        <f t="shared" si="113"/>
        <v>12740000</v>
      </c>
      <c r="AZ97" s="267">
        <f t="shared" si="113"/>
        <v>2427937.49</v>
      </c>
      <c r="BA97" s="268">
        <f t="shared" si="113"/>
        <v>159799.43000000002</v>
      </c>
      <c r="BB97" s="266">
        <f t="shared" si="113"/>
        <v>100000</v>
      </c>
      <c r="BC97" s="266">
        <f t="shared" si="113"/>
        <v>773711</v>
      </c>
      <c r="BD97" s="265">
        <f t="shared" si="113"/>
        <v>-116647.78</v>
      </c>
      <c r="BE97" s="90">
        <f t="shared" si="113"/>
        <v>160004340.71420702</v>
      </c>
      <c r="BF97" s="267">
        <f t="shared" si="113"/>
        <v>35288904.36183846</v>
      </c>
      <c r="BG97" s="268">
        <f t="shared" si="113"/>
        <v>16084800.139999995</v>
      </c>
      <c r="BH97" s="265">
        <f t="shared" si="113"/>
        <v>11110883.131859409</v>
      </c>
      <c r="BI97" s="90">
        <f t="shared" si="113"/>
        <v>211378045.2160455</v>
      </c>
      <c r="BJ97" s="264">
        <f t="shared" si="113"/>
        <v>121562901.28415535</v>
      </c>
      <c r="BK97" s="265">
        <f t="shared" si="113"/>
        <v>89533968.75377943</v>
      </c>
      <c r="BL97" s="264">
        <f t="shared" si="113"/>
        <v>195792956.07604548</v>
      </c>
      <c r="BM97" s="36"/>
      <c r="BN97" s="36"/>
      <c r="BO97" s="269"/>
      <c r="BP97" s="267"/>
      <c r="BQ97" s="269">
        <f>SUM(BQ5:BQ95)</f>
        <v>1354774.6784327775</v>
      </c>
      <c r="BR97" s="270">
        <f>SUM(BR5:BR95)</f>
        <v>212732819.8944783</v>
      </c>
      <c r="BS97" s="11">
        <f>SUM(BS5:BS95)</f>
        <v>0</v>
      </c>
      <c r="BT97" s="55">
        <f>SUM(BT5:BT95)</f>
        <v>23898.58000000001</v>
      </c>
      <c r="BU97" s="11">
        <f>SUM(BU5:BU95)</f>
        <v>212708921.31447828</v>
      </c>
      <c r="BW97" s="270">
        <f>SUM(BW5:BW95)</f>
        <v>9896564.210449457</v>
      </c>
      <c r="BX97" s="387">
        <f>SUM(BX5:BX95)</f>
        <v>641524.6509167346</v>
      </c>
      <c r="BY97" s="269">
        <f>SUM(BY5:BY95)</f>
        <v>568440</v>
      </c>
      <c r="BZ97" s="36">
        <f>SUM(BZ5:BZ95)</f>
        <v>219325</v>
      </c>
      <c r="CA97" s="271">
        <f>SUM(CA5:CA95)</f>
        <v>4807943</v>
      </c>
      <c r="CB97" s="271">
        <f>SUM(CB5:CB95)</f>
        <v>540000</v>
      </c>
      <c r="CD97" s="430">
        <f>SUM(CD5:CD95)</f>
        <v>5165765</v>
      </c>
      <c r="CE97" s="431">
        <f aca="true" t="shared" si="114" ref="CE97:CK97">SUM(CE5:CE95)</f>
        <v>73200</v>
      </c>
      <c r="CF97" s="431">
        <f t="shared" si="114"/>
        <v>188600</v>
      </c>
      <c r="CG97" s="431">
        <f t="shared" si="114"/>
        <v>939370</v>
      </c>
      <c r="CH97" s="431">
        <f t="shared" si="114"/>
        <v>2671381</v>
      </c>
      <c r="CI97" s="431">
        <f t="shared" si="114"/>
        <v>0</v>
      </c>
      <c r="CJ97" s="431">
        <f t="shared" si="114"/>
        <v>457242</v>
      </c>
      <c r="CK97" s="432">
        <f t="shared" si="114"/>
        <v>0</v>
      </c>
    </row>
    <row r="99" ht="12.75">
      <c r="BJ99" s="2"/>
    </row>
    <row r="100" spans="62:68" ht="12.75">
      <c r="BJ100" s="2"/>
      <c r="BP100" s="210"/>
    </row>
    <row r="101" spans="5:68" ht="12.75">
      <c r="E101" s="10"/>
      <c r="F101" s="10"/>
      <c r="G101" s="10"/>
      <c r="BJ101" s="2"/>
      <c r="BP101" s="210"/>
    </row>
    <row r="102" spans="5:68" ht="12.75">
      <c r="E102" s="10"/>
      <c r="F102" s="10"/>
      <c r="G102" s="10"/>
      <c r="BJ102" s="2"/>
      <c r="BP102" s="210"/>
    </row>
    <row r="103" spans="5:68" ht="12.75">
      <c r="E103" s="10"/>
      <c r="F103" s="10"/>
      <c r="G103" s="10"/>
      <c r="BJ103" s="2"/>
      <c r="BP103" s="210"/>
    </row>
    <row r="104" spans="5:68" ht="12.75">
      <c r="E104" s="10"/>
      <c r="F104" s="10"/>
      <c r="G104" s="10"/>
      <c r="BJ104" s="2"/>
      <c r="BP104" s="210"/>
    </row>
    <row r="105" spans="5:68" ht="12.75">
      <c r="E105" s="10"/>
      <c r="F105" s="10"/>
      <c r="G105" s="10"/>
      <c r="BJ105" s="2"/>
      <c r="BP105" s="210"/>
    </row>
    <row r="106" spans="5:68" ht="12.75">
      <c r="E106" s="10"/>
      <c r="F106" s="10"/>
      <c r="G106" s="10"/>
      <c r="BJ106" s="2"/>
      <c r="BP106" s="210"/>
    </row>
    <row r="107" spans="5:68" ht="12.75">
      <c r="E107" s="10"/>
      <c r="F107" s="10"/>
      <c r="G107" s="10"/>
      <c r="BJ107" s="2"/>
      <c r="BP107" s="210"/>
    </row>
    <row r="108" spans="5:68" ht="12.75">
      <c r="E108" s="10"/>
      <c r="F108" s="10"/>
      <c r="G108" s="10"/>
      <c r="BJ108" s="2"/>
      <c r="BP108" s="210"/>
    </row>
    <row r="109" spans="5:68" ht="12.75">
      <c r="E109" s="10"/>
      <c r="F109" s="10"/>
      <c r="G109" s="10"/>
      <c r="BJ109" s="2"/>
      <c r="BP109" s="210"/>
    </row>
    <row r="110" spans="5:68" ht="12.75">
      <c r="E110" s="10"/>
      <c r="F110" s="10"/>
      <c r="G110" s="10"/>
      <c r="BJ110" s="2"/>
      <c r="BP110" s="210"/>
    </row>
    <row r="111" spans="5:68" ht="12.75">
      <c r="E111" s="10"/>
      <c r="F111" s="10"/>
      <c r="G111" s="10"/>
      <c r="BJ111" s="2"/>
      <c r="BP111" s="210"/>
    </row>
    <row r="112" spans="5:68" ht="12.75">
      <c r="E112" s="10"/>
      <c r="F112" s="10"/>
      <c r="G112" s="10"/>
      <c r="BJ112" s="2"/>
      <c r="BP112" s="210"/>
    </row>
    <row r="113" spans="5:68" ht="12.75">
      <c r="E113" s="10"/>
      <c r="F113" s="10"/>
      <c r="G113" s="10"/>
      <c r="BJ113" s="2"/>
      <c r="BP113" s="210"/>
    </row>
    <row r="114" spans="5:68" ht="12.75">
      <c r="E114" s="10"/>
      <c r="F114" s="10"/>
      <c r="G114" s="10"/>
      <c r="BJ114" s="2"/>
      <c r="BP114" s="210"/>
    </row>
    <row r="115" spans="5:68" ht="12.75">
      <c r="E115" s="10"/>
      <c r="F115" s="10"/>
      <c r="G115" s="10"/>
      <c r="BP115" s="210"/>
    </row>
    <row r="116" spans="5:68" ht="12.75">
      <c r="E116" s="10"/>
      <c r="F116" s="10"/>
      <c r="G116" s="10"/>
      <c r="BP116" s="210"/>
    </row>
    <row r="117" spans="5:68" ht="12.75">
      <c r="E117" s="10"/>
      <c r="F117" s="10"/>
      <c r="G117" s="10"/>
      <c r="BP117" s="210"/>
    </row>
    <row r="118" spans="5:68" ht="12.75">
      <c r="E118" s="10"/>
      <c r="F118" s="10"/>
      <c r="G118" s="10"/>
      <c r="BP118" s="210"/>
    </row>
    <row r="119" ht="12.75">
      <c r="BP119" s="210"/>
    </row>
    <row r="120" ht="12.75">
      <c r="BP120" s="210"/>
    </row>
    <row r="121" ht="12.75">
      <c r="BP121" s="210"/>
    </row>
    <row r="122" ht="12.75">
      <c r="BP122" s="210"/>
    </row>
    <row r="123" ht="12.75">
      <c r="BP123" s="210"/>
    </row>
    <row r="124" ht="12.75">
      <c r="BP124" s="210"/>
    </row>
    <row r="125" ht="12.75">
      <c r="BP125" s="210"/>
    </row>
    <row r="126" ht="12.75">
      <c r="BP126" s="210"/>
    </row>
    <row r="127" ht="12.75">
      <c r="BP127" s="210"/>
    </row>
    <row r="128" ht="12.75">
      <c r="BP128" s="210"/>
    </row>
    <row r="129" ht="12.75">
      <c r="BP129" s="210"/>
    </row>
    <row r="130" ht="12.75">
      <c r="BP130" s="210"/>
    </row>
    <row r="131" ht="12.75">
      <c r="BP131" s="210"/>
    </row>
    <row r="132" ht="12.75">
      <c r="BP132" s="210"/>
    </row>
    <row r="133" ht="12.75">
      <c r="BP133" s="210"/>
    </row>
    <row r="134" ht="12.75">
      <c r="BP134" s="210"/>
    </row>
    <row r="135" ht="12.75">
      <c r="BP135" s="210"/>
    </row>
    <row r="136" ht="12.75">
      <c r="BP136" s="210"/>
    </row>
    <row r="137" ht="12.75">
      <c r="BP137" s="210"/>
    </row>
    <row r="138" ht="12.75">
      <c r="BP138" s="210"/>
    </row>
    <row r="139" ht="12.75">
      <c r="BP139" s="210"/>
    </row>
    <row r="140" ht="12.75">
      <c r="BP140" s="210"/>
    </row>
    <row r="141" ht="12.75">
      <c r="BP141" s="210"/>
    </row>
    <row r="142" ht="12.75">
      <c r="BP142" s="210"/>
    </row>
    <row r="143" ht="12.75">
      <c r="BP143" s="210"/>
    </row>
    <row r="144" ht="12.75">
      <c r="BP144" s="210"/>
    </row>
    <row r="145" ht="12.75">
      <c r="BP145" s="210"/>
    </row>
    <row r="146" ht="12.75">
      <c r="BP146" s="210"/>
    </row>
    <row r="147" ht="12.75">
      <c r="BP147" s="210"/>
    </row>
    <row r="148" ht="12.75">
      <c r="BP148" s="210"/>
    </row>
    <row r="149" ht="12.75">
      <c r="BP149" s="210"/>
    </row>
    <row r="150" ht="12.75">
      <c r="BP150" s="210"/>
    </row>
    <row r="151" ht="12.75">
      <c r="BP151" s="210"/>
    </row>
    <row r="152" ht="12.75">
      <c r="BP152" s="210"/>
    </row>
    <row r="153" ht="12.75">
      <c r="BP153" s="210"/>
    </row>
    <row r="154" ht="12.75">
      <c r="BP154" s="210"/>
    </row>
    <row r="155" ht="12.75">
      <c r="BP155" s="210"/>
    </row>
    <row r="156" ht="12.75">
      <c r="BP156" s="210"/>
    </row>
    <row r="157" ht="12.75">
      <c r="BP157" s="210"/>
    </row>
    <row r="158" ht="12.75">
      <c r="BP158" s="210"/>
    </row>
    <row r="159" ht="12.75">
      <c r="BP159" s="210"/>
    </row>
    <row r="160" ht="12.75">
      <c r="BP160" s="210"/>
    </row>
    <row r="161" ht="12.75">
      <c r="BP161" s="210"/>
    </row>
    <row r="162" ht="12.75">
      <c r="BP162" s="210"/>
    </row>
    <row r="163" ht="12.75">
      <c r="BP163" s="210"/>
    </row>
    <row r="164" ht="12.75">
      <c r="BP164" s="210"/>
    </row>
    <row r="165" ht="12.75">
      <c r="BP165" s="210"/>
    </row>
    <row r="166" ht="12.75">
      <c r="BP166" s="210"/>
    </row>
    <row r="167" ht="12.75">
      <c r="BP167" s="210"/>
    </row>
    <row r="168" ht="12.75">
      <c r="BP168" s="210"/>
    </row>
    <row r="169" ht="12.75">
      <c r="BP169" s="210"/>
    </row>
    <row r="170" ht="12.75">
      <c r="BP170" s="210"/>
    </row>
    <row r="171" ht="12.75">
      <c r="BP171" s="210"/>
    </row>
    <row r="172" ht="12.75">
      <c r="BP172" s="210"/>
    </row>
    <row r="173" ht="12.75">
      <c r="BP173" s="210"/>
    </row>
    <row r="174" ht="12.75">
      <c r="BP174" s="210"/>
    </row>
    <row r="175" ht="12.75">
      <c r="BP175" s="210"/>
    </row>
    <row r="176" ht="12.75">
      <c r="BP176" s="210"/>
    </row>
    <row r="177" ht="12.75">
      <c r="BP177" s="210"/>
    </row>
    <row r="178" ht="12.75">
      <c r="BP178" s="210"/>
    </row>
    <row r="179" ht="12.75">
      <c r="BP179" s="210"/>
    </row>
    <row r="180" ht="12.75">
      <c r="BP180" s="4"/>
    </row>
  </sheetData>
  <sheetProtection/>
  <autoFilter ref="A4:CK95"/>
  <mergeCells count="3">
    <mergeCell ref="C3:AA3"/>
    <mergeCell ref="BW3:CB3"/>
    <mergeCell ref="CD3:CK3"/>
  </mergeCells>
  <conditionalFormatting sqref="A1:A65536">
    <cfRule type="duplicateValues" priority="2" dxfId="0">
      <formula>AND(COUNTIF($A$1:$A$65536,A1)&gt;1,NOT(ISBLANK(A1)))</formula>
    </cfRule>
  </conditionalFormatting>
  <dataValidations count="1">
    <dataValidation type="decimal" operator="greaterThanOrEqual" allowBlank="1" showInputMessage="1" showErrorMessage="1" error="This figure cannot be negative" sqref="AZ5:AZ95">
      <formula1>0</formula1>
    </dataValidation>
  </dataValidations>
  <printOptions/>
  <pageMargins left="0.75" right="0.75" top="1" bottom="1" header="0.5" footer="0.5"/>
  <pageSetup fitToWidth="3" fitToHeight="1" horizontalDpi="600" verticalDpi="600" orientation="landscape" paperSize="8" scale="43"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E92"/>
  <sheetViews>
    <sheetView zoomScalePageLayoutView="0" workbookViewId="0" topLeftCell="A28">
      <selection activeCell="CD5" sqref="CD5:CD55"/>
    </sheetView>
  </sheetViews>
  <sheetFormatPr defaultColWidth="9.140625" defaultRowHeight="12.75"/>
  <cols>
    <col min="1" max="1" width="7.421875" style="0" bestFit="1" customWidth="1"/>
    <col min="2" max="2" width="56.8515625" style="0" bestFit="1" customWidth="1"/>
    <col min="3" max="5" width="14.7109375" style="201" customWidth="1"/>
  </cols>
  <sheetData>
    <row r="2" spans="1:5" ht="25.5">
      <c r="A2" s="31" t="s">
        <v>252</v>
      </c>
      <c r="B2" s="31" t="s">
        <v>155</v>
      </c>
      <c r="C2" s="278" t="s">
        <v>253</v>
      </c>
      <c r="D2" s="278" t="s">
        <v>254</v>
      </c>
      <c r="E2" s="278" t="s">
        <v>255</v>
      </c>
    </row>
    <row r="3" spans="1:5" ht="12.75">
      <c r="A3" s="20">
        <v>5412</v>
      </c>
      <c r="B3" s="274" t="s">
        <v>597</v>
      </c>
      <c r="C3" s="273">
        <v>11</v>
      </c>
      <c r="D3" s="273">
        <v>11</v>
      </c>
      <c r="E3" s="272">
        <v>47175</v>
      </c>
    </row>
    <row r="4" spans="1:5" ht="12.75">
      <c r="A4" s="20">
        <v>2001</v>
      </c>
      <c r="B4" s="274" t="s">
        <v>598</v>
      </c>
      <c r="C4" s="273">
        <v>8</v>
      </c>
      <c r="D4" s="273">
        <v>5</v>
      </c>
      <c r="E4" s="272">
        <v>54326</v>
      </c>
    </row>
    <row r="5" spans="1:5" ht="12.75">
      <c r="A5" s="20">
        <v>4600</v>
      </c>
      <c r="B5" s="274" t="s">
        <v>599</v>
      </c>
      <c r="C5" s="273">
        <v>21</v>
      </c>
      <c r="D5" s="273">
        <v>29</v>
      </c>
      <c r="E5" s="272">
        <v>141031</v>
      </c>
    </row>
    <row r="6" spans="1:5" ht="12.75">
      <c r="A6" s="20">
        <v>3300</v>
      </c>
      <c r="B6" s="274" t="s">
        <v>600</v>
      </c>
      <c r="C6" s="273">
        <v>11</v>
      </c>
      <c r="D6" s="273">
        <v>8</v>
      </c>
      <c r="E6" s="272">
        <v>86551</v>
      </c>
    </row>
    <row r="7" spans="1:5" ht="12.75">
      <c r="A7" s="20">
        <v>5400</v>
      </c>
      <c r="B7" s="274" t="s">
        <v>144</v>
      </c>
      <c r="C7" s="273">
        <v>36</v>
      </c>
      <c r="D7" s="273">
        <v>41</v>
      </c>
      <c r="E7" s="272">
        <v>190715</v>
      </c>
    </row>
    <row r="8" spans="1:5" ht="12.75">
      <c r="A8" s="20">
        <v>3401</v>
      </c>
      <c r="B8" s="274" t="s">
        <v>32</v>
      </c>
      <c r="C8" s="273">
        <v>10</v>
      </c>
      <c r="D8" s="273">
        <v>8</v>
      </c>
      <c r="E8" s="272">
        <v>91159</v>
      </c>
    </row>
    <row r="9" spans="1:5" ht="12.75">
      <c r="A9" s="20">
        <v>2003</v>
      </c>
      <c r="B9" s="274" t="s">
        <v>7</v>
      </c>
      <c r="C9" s="273">
        <v>2</v>
      </c>
      <c r="D9" s="273">
        <v>2</v>
      </c>
      <c r="E9" s="272">
        <v>8300</v>
      </c>
    </row>
    <row r="10" spans="1:5" ht="12.75">
      <c r="A10" s="20">
        <v>2002</v>
      </c>
      <c r="B10" s="274" t="s">
        <v>145</v>
      </c>
      <c r="C10" s="273">
        <v>4</v>
      </c>
      <c r="D10" s="273">
        <v>2</v>
      </c>
      <c r="E10" s="272">
        <v>27184</v>
      </c>
    </row>
    <row r="11" spans="1:5" ht="12.75">
      <c r="A11" s="20">
        <v>5206</v>
      </c>
      <c r="B11" s="274" t="s">
        <v>42</v>
      </c>
      <c r="C11" s="273">
        <v>15</v>
      </c>
      <c r="D11" s="273">
        <v>13</v>
      </c>
      <c r="E11" s="272">
        <v>102709</v>
      </c>
    </row>
    <row r="12" spans="1:5" ht="12.75">
      <c r="A12" s="20">
        <v>2084</v>
      </c>
      <c r="B12" s="274" t="s">
        <v>601</v>
      </c>
      <c r="C12" s="273">
        <v>11</v>
      </c>
      <c r="D12" s="273">
        <v>10</v>
      </c>
      <c r="E12" s="272">
        <v>85842</v>
      </c>
    </row>
    <row r="13" spans="1:5" ht="12.75">
      <c r="A13" s="20">
        <v>2010</v>
      </c>
      <c r="B13" s="274" t="s">
        <v>8</v>
      </c>
      <c r="C13" s="273">
        <v>15</v>
      </c>
      <c r="D13" s="273">
        <v>10</v>
      </c>
      <c r="E13" s="272">
        <v>90201</v>
      </c>
    </row>
    <row r="14" spans="1:5" ht="12.75">
      <c r="A14" s="20">
        <v>2012</v>
      </c>
      <c r="B14" s="274" t="s">
        <v>10</v>
      </c>
      <c r="C14" s="273">
        <v>4</v>
      </c>
      <c r="D14" s="273">
        <v>4</v>
      </c>
      <c r="E14" s="272">
        <v>53500</v>
      </c>
    </row>
    <row r="15" spans="1:5" ht="12.75">
      <c r="A15" s="20">
        <v>2011</v>
      </c>
      <c r="B15" s="274" t="s">
        <v>9</v>
      </c>
      <c r="C15" s="273">
        <v>5</v>
      </c>
      <c r="D15" s="273">
        <v>4</v>
      </c>
      <c r="E15" s="272">
        <v>23542</v>
      </c>
    </row>
    <row r="16" spans="1:5" ht="12.75">
      <c r="A16" s="20">
        <v>3410</v>
      </c>
      <c r="B16" s="274" t="s">
        <v>602</v>
      </c>
      <c r="C16" s="273">
        <v>6</v>
      </c>
      <c r="D16" s="273">
        <v>4</v>
      </c>
      <c r="E16" s="272">
        <v>32109</v>
      </c>
    </row>
    <row r="17" spans="1:5" ht="12.75">
      <c r="A17" s="20">
        <v>2078</v>
      </c>
      <c r="B17" s="274" t="s">
        <v>488</v>
      </c>
      <c r="C17" s="273">
        <v>17</v>
      </c>
      <c r="D17" s="273">
        <v>14</v>
      </c>
      <c r="E17" s="272">
        <v>111476</v>
      </c>
    </row>
    <row r="18" spans="1:5" ht="12.75">
      <c r="A18" s="20">
        <v>2016</v>
      </c>
      <c r="B18" s="274" t="s">
        <v>11</v>
      </c>
      <c r="C18" s="273">
        <v>5</v>
      </c>
      <c r="D18" s="273">
        <v>5</v>
      </c>
      <c r="E18" s="272">
        <v>45116</v>
      </c>
    </row>
    <row r="19" spans="1:5" ht="12.75">
      <c r="A19" s="20">
        <v>3307</v>
      </c>
      <c r="B19" s="274" t="s">
        <v>603</v>
      </c>
      <c r="C19" s="273">
        <v>13</v>
      </c>
      <c r="D19" s="273">
        <v>11</v>
      </c>
      <c r="E19" s="272">
        <v>100559</v>
      </c>
    </row>
    <row r="20" spans="1:5" ht="12.75">
      <c r="A20" s="20">
        <v>2019</v>
      </c>
      <c r="B20" s="274" t="s">
        <v>154</v>
      </c>
      <c r="C20" s="273">
        <v>7</v>
      </c>
      <c r="D20" s="273">
        <v>4</v>
      </c>
      <c r="E20" s="272">
        <v>43034</v>
      </c>
    </row>
    <row r="21" spans="1:5" ht="12.75">
      <c r="A21" s="20">
        <v>2018</v>
      </c>
      <c r="B21" s="274" t="s">
        <v>12</v>
      </c>
      <c r="C21" s="273">
        <v>4</v>
      </c>
      <c r="D21" s="273">
        <v>7</v>
      </c>
      <c r="E21" s="272">
        <v>44066</v>
      </c>
    </row>
    <row r="22" spans="1:5" ht="12.75">
      <c r="A22" s="20">
        <v>2076</v>
      </c>
      <c r="B22" s="274" t="s">
        <v>26</v>
      </c>
      <c r="C22" s="273">
        <v>5</v>
      </c>
      <c r="D22" s="273">
        <v>4</v>
      </c>
      <c r="E22" s="272">
        <v>52350</v>
      </c>
    </row>
    <row r="23" spans="1:5" ht="12.75">
      <c r="A23" s="20">
        <v>2020</v>
      </c>
      <c r="B23" s="274" t="s">
        <v>13</v>
      </c>
      <c r="C23" s="273">
        <v>8</v>
      </c>
      <c r="D23" s="273">
        <v>5</v>
      </c>
      <c r="E23" s="272">
        <v>60351</v>
      </c>
    </row>
    <row r="24" spans="1:5" ht="12.75">
      <c r="A24" s="20">
        <v>5203</v>
      </c>
      <c r="B24" s="274" t="s">
        <v>604</v>
      </c>
      <c r="C24" s="273">
        <v>6</v>
      </c>
      <c r="D24" s="273">
        <v>5</v>
      </c>
      <c r="E24" s="272">
        <v>43367</v>
      </c>
    </row>
    <row r="25" spans="1:5" ht="12.75">
      <c r="A25" s="20">
        <v>5202</v>
      </c>
      <c r="B25" s="274" t="s">
        <v>39</v>
      </c>
      <c r="C25" s="273">
        <v>5</v>
      </c>
      <c r="D25" s="273">
        <v>3</v>
      </c>
      <c r="E25" s="272">
        <v>32959</v>
      </c>
    </row>
    <row r="26" spans="1:5" ht="12.75">
      <c r="A26" s="20">
        <v>4654</v>
      </c>
      <c r="B26" s="274" t="s">
        <v>47</v>
      </c>
      <c r="C26" s="273">
        <v>11</v>
      </c>
      <c r="D26" s="273">
        <v>12</v>
      </c>
      <c r="E26" s="272">
        <v>100983</v>
      </c>
    </row>
    <row r="27" spans="1:5" ht="12.75">
      <c r="A27" s="20">
        <v>2024</v>
      </c>
      <c r="B27" s="274" t="s">
        <v>87</v>
      </c>
      <c r="C27" s="273">
        <v>2</v>
      </c>
      <c r="D27" s="273">
        <v>1</v>
      </c>
      <c r="E27" s="272">
        <v>10267</v>
      </c>
    </row>
    <row r="28" spans="1:5" ht="12.75">
      <c r="A28" s="20">
        <v>2023</v>
      </c>
      <c r="B28" s="274" t="s">
        <v>14</v>
      </c>
      <c r="C28" s="273">
        <v>10</v>
      </c>
      <c r="D28" s="273">
        <v>8</v>
      </c>
      <c r="E28" s="272">
        <v>47092</v>
      </c>
    </row>
    <row r="29" spans="1:5" ht="12.75">
      <c r="A29" s="20">
        <v>5411</v>
      </c>
      <c r="B29" s="274" t="s">
        <v>130</v>
      </c>
      <c r="C29" s="273">
        <v>15</v>
      </c>
      <c r="D29" s="273">
        <v>13</v>
      </c>
      <c r="E29" s="272">
        <v>65259</v>
      </c>
    </row>
    <row r="30" spans="1:5" ht="12.75">
      <c r="A30" s="20">
        <v>2025</v>
      </c>
      <c r="B30" s="274" t="s">
        <v>88</v>
      </c>
      <c r="C30" s="273">
        <v>6</v>
      </c>
      <c r="D30" s="273">
        <v>4</v>
      </c>
      <c r="E30" s="272">
        <v>44409</v>
      </c>
    </row>
    <row r="31" spans="1:5" ht="12.75">
      <c r="A31" s="20">
        <v>2026</v>
      </c>
      <c r="B31" s="274" t="s">
        <v>89</v>
      </c>
      <c r="C31" s="273">
        <v>5</v>
      </c>
      <c r="D31" s="273">
        <v>4</v>
      </c>
      <c r="E31" s="272">
        <v>32667</v>
      </c>
    </row>
    <row r="32" spans="1:5" ht="12.75">
      <c r="A32" s="20">
        <v>5401</v>
      </c>
      <c r="B32" s="274" t="s">
        <v>100</v>
      </c>
      <c r="C32" s="273">
        <v>15</v>
      </c>
      <c r="D32" s="273">
        <v>15</v>
      </c>
      <c r="E32" s="272">
        <v>76700</v>
      </c>
    </row>
    <row r="33" spans="1:5" ht="12.75">
      <c r="A33" s="20">
        <v>5211</v>
      </c>
      <c r="B33" s="274" t="s">
        <v>605</v>
      </c>
      <c r="C33" s="273">
        <v>12</v>
      </c>
      <c r="D33" s="273">
        <v>10</v>
      </c>
      <c r="E33" s="272">
        <v>103184</v>
      </c>
    </row>
    <row r="34" spans="1:5" ht="12.75">
      <c r="A34" s="20">
        <v>2029</v>
      </c>
      <c r="B34" s="274" t="s">
        <v>90</v>
      </c>
      <c r="C34" s="273">
        <v>5</v>
      </c>
      <c r="D34" s="273">
        <v>4</v>
      </c>
      <c r="E34" s="272">
        <v>30842</v>
      </c>
    </row>
    <row r="35" spans="1:5" ht="12.75">
      <c r="A35" s="20">
        <v>2061</v>
      </c>
      <c r="B35" s="274" t="s">
        <v>23</v>
      </c>
      <c r="C35" s="273">
        <v>2</v>
      </c>
      <c r="D35" s="273">
        <v>2</v>
      </c>
      <c r="E35" s="272">
        <v>14600</v>
      </c>
    </row>
    <row r="36" spans="1:5" ht="12.75">
      <c r="A36" s="20">
        <v>5407</v>
      </c>
      <c r="B36" s="274" t="s">
        <v>51</v>
      </c>
      <c r="C36" s="273">
        <v>5</v>
      </c>
      <c r="D36" s="273">
        <v>6</v>
      </c>
      <c r="E36" s="272">
        <v>34158</v>
      </c>
    </row>
    <row r="37" spans="1:5" ht="12.75">
      <c r="A37" s="20">
        <v>2021</v>
      </c>
      <c r="B37" s="274" t="s">
        <v>146</v>
      </c>
      <c r="C37" s="273">
        <v>3</v>
      </c>
      <c r="D37" s="273">
        <v>1</v>
      </c>
      <c r="E37" s="272">
        <v>8559</v>
      </c>
    </row>
    <row r="38" spans="1:5" ht="12.75">
      <c r="A38" s="20">
        <v>2063</v>
      </c>
      <c r="B38" s="274" t="s">
        <v>95</v>
      </c>
      <c r="C38" s="273">
        <v>3</v>
      </c>
      <c r="D38" s="273">
        <v>3</v>
      </c>
      <c r="E38" s="272">
        <v>18300</v>
      </c>
    </row>
    <row r="39" spans="1:5" ht="12.75">
      <c r="A39" s="20">
        <v>2081</v>
      </c>
      <c r="B39" s="274" t="s">
        <v>28</v>
      </c>
      <c r="C39" s="273">
        <v>13</v>
      </c>
      <c r="D39" s="273">
        <v>13</v>
      </c>
      <c r="E39" s="272">
        <v>92500</v>
      </c>
    </row>
    <row r="40" spans="1:5" ht="12.75">
      <c r="A40" s="20">
        <v>5204</v>
      </c>
      <c r="B40" s="274" t="s">
        <v>40</v>
      </c>
      <c r="C40" s="273">
        <v>2</v>
      </c>
      <c r="D40" s="273">
        <v>0</v>
      </c>
      <c r="E40" s="272">
        <v>9792</v>
      </c>
    </row>
    <row r="41" spans="1:5" ht="12.75">
      <c r="A41" s="20">
        <v>5205</v>
      </c>
      <c r="B41" s="274" t="s">
        <v>41</v>
      </c>
      <c r="C41" s="273">
        <v>4</v>
      </c>
      <c r="D41" s="273">
        <v>6</v>
      </c>
      <c r="E41" s="272">
        <v>42908</v>
      </c>
    </row>
    <row r="42" spans="1:5" ht="12.75">
      <c r="A42" s="20">
        <v>3302</v>
      </c>
      <c r="B42" s="274" t="s">
        <v>606</v>
      </c>
      <c r="C42" s="273">
        <v>4</v>
      </c>
      <c r="D42" s="273">
        <v>4</v>
      </c>
      <c r="E42" s="272">
        <v>23500</v>
      </c>
    </row>
    <row r="43" spans="1:5" ht="12.75">
      <c r="A43" s="20">
        <v>2027</v>
      </c>
      <c r="B43" s="274" t="s">
        <v>136</v>
      </c>
      <c r="C43" s="273">
        <v>2</v>
      </c>
      <c r="D43" s="273">
        <v>2</v>
      </c>
      <c r="E43" s="272">
        <v>28500</v>
      </c>
    </row>
    <row r="44" spans="1:5" ht="12.75">
      <c r="A44" s="20">
        <v>2033</v>
      </c>
      <c r="B44" s="274" t="s">
        <v>607</v>
      </c>
      <c r="C44" s="273">
        <v>7</v>
      </c>
      <c r="D44" s="273">
        <v>2</v>
      </c>
      <c r="E44" s="272">
        <v>32243</v>
      </c>
    </row>
    <row r="45" spans="1:5" ht="12.75">
      <c r="A45" s="20">
        <v>2032</v>
      </c>
      <c r="B45" s="274" t="s">
        <v>91</v>
      </c>
      <c r="C45" s="273">
        <v>2</v>
      </c>
      <c r="D45" s="273">
        <v>7</v>
      </c>
      <c r="E45" s="272">
        <v>49157</v>
      </c>
    </row>
    <row r="46" spans="1:5" ht="12.75">
      <c r="A46" s="20">
        <v>2028</v>
      </c>
      <c r="B46" s="274" t="s">
        <v>137</v>
      </c>
      <c r="C46" s="273">
        <v>10</v>
      </c>
      <c r="D46" s="273">
        <v>10</v>
      </c>
      <c r="E46" s="272">
        <v>101600</v>
      </c>
    </row>
    <row r="47" spans="1:5" ht="12.75">
      <c r="A47" s="20">
        <v>2017</v>
      </c>
      <c r="B47" s="274" t="s">
        <v>16</v>
      </c>
      <c r="C47" s="273">
        <v>4</v>
      </c>
      <c r="D47" s="273">
        <v>3</v>
      </c>
      <c r="E47" s="272">
        <v>31042</v>
      </c>
    </row>
    <row r="48" spans="1:5" ht="12.75">
      <c r="A48" s="20">
        <v>1000</v>
      </c>
      <c r="B48" s="274" t="s">
        <v>608</v>
      </c>
      <c r="C48" s="273">
        <v>1</v>
      </c>
      <c r="D48" s="273">
        <v>0</v>
      </c>
      <c r="E48" s="272">
        <v>2083</v>
      </c>
    </row>
    <row r="49" spans="1:5" ht="12.75">
      <c r="A49" s="20">
        <v>2036</v>
      </c>
      <c r="B49" s="274" t="s">
        <v>92</v>
      </c>
      <c r="C49" s="273">
        <v>7</v>
      </c>
      <c r="D49" s="273">
        <v>6</v>
      </c>
      <c r="E49" s="272">
        <v>34742</v>
      </c>
    </row>
    <row r="50" spans="1:5" ht="12.75">
      <c r="A50" s="20">
        <v>2037</v>
      </c>
      <c r="B50" s="274" t="s">
        <v>609</v>
      </c>
      <c r="C50" s="273">
        <v>5</v>
      </c>
      <c r="D50" s="273">
        <v>4</v>
      </c>
      <c r="E50" s="272">
        <v>48542</v>
      </c>
    </row>
    <row r="51" spans="1:5" ht="12.75">
      <c r="A51" s="20">
        <v>2039</v>
      </c>
      <c r="B51" s="274" t="s">
        <v>610</v>
      </c>
      <c r="C51" s="273">
        <v>6</v>
      </c>
      <c r="D51" s="273">
        <v>3</v>
      </c>
      <c r="E51" s="272">
        <v>29826</v>
      </c>
    </row>
    <row r="52" spans="1:5" ht="12.75">
      <c r="A52" s="20">
        <v>2038</v>
      </c>
      <c r="B52" s="274" t="s">
        <v>17</v>
      </c>
      <c r="C52" s="273">
        <v>5</v>
      </c>
      <c r="D52" s="273">
        <v>7</v>
      </c>
      <c r="E52" s="272">
        <v>44416</v>
      </c>
    </row>
    <row r="53" spans="1:5" ht="12.75">
      <c r="A53" s="20">
        <v>5405</v>
      </c>
      <c r="B53" s="274" t="s">
        <v>102</v>
      </c>
      <c r="C53" s="273">
        <v>4</v>
      </c>
      <c r="D53" s="273">
        <v>5</v>
      </c>
      <c r="E53" s="272">
        <v>29458</v>
      </c>
    </row>
    <row r="54" spans="1:5" ht="12.75">
      <c r="A54" s="20">
        <v>5200</v>
      </c>
      <c r="B54" s="274" t="s">
        <v>37</v>
      </c>
      <c r="C54" s="273">
        <v>10</v>
      </c>
      <c r="D54" s="273">
        <v>7</v>
      </c>
      <c r="E54" s="272">
        <v>75596</v>
      </c>
    </row>
    <row r="55" spans="1:5" ht="12.75">
      <c r="A55" s="20">
        <v>5201</v>
      </c>
      <c r="B55" s="274" t="s">
        <v>38</v>
      </c>
      <c r="C55" s="273">
        <v>8</v>
      </c>
      <c r="D55" s="273">
        <v>8</v>
      </c>
      <c r="E55" s="272">
        <v>64150</v>
      </c>
    </row>
    <row r="56" spans="1:5" ht="12.75">
      <c r="A56" s="20">
        <v>5409</v>
      </c>
      <c r="B56" s="274" t="s">
        <v>236</v>
      </c>
      <c r="C56" s="273">
        <v>14</v>
      </c>
      <c r="D56" s="273">
        <v>15</v>
      </c>
      <c r="E56" s="272">
        <v>72541</v>
      </c>
    </row>
    <row r="57" spans="1:5" ht="12.75">
      <c r="A57" s="20">
        <v>4021</v>
      </c>
      <c r="B57" s="274" t="s">
        <v>611</v>
      </c>
      <c r="C57" s="273">
        <v>15</v>
      </c>
      <c r="D57" s="273">
        <v>16</v>
      </c>
      <c r="E57" s="272">
        <v>60258</v>
      </c>
    </row>
    <row r="58" spans="1:5" ht="12.75">
      <c r="A58" s="20">
        <v>4000</v>
      </c>
      <c r="B58" s="274" t="s">
        <v>139</v>
      </c>
      <c r="C58" s="273">
        <v>2</v>
      </c>
      <c r="D58" s="273">
        <v>2</v>
      </c>
      <c r="E58" s="272">
        <v>5900</v>
      </c>
    </row>
    <row r="59" spans="1:5" ht="12.75">
      <c r="A59" s="20">
        <v>2040</v>
      </c>
      <c r="B59" s="274" t="s">
        <v>97</v>
      </c>
      <c r="C59" s="273">
        <v>9</v>
      </c>
      <c r="D59" s="273">
        <v>6</v>
      </c>
      <c r="E59" s="272">
        <v>60851</v>
      </c>
    </row>
    <row r="60" spans="1:5" ht="12.75">
      <c r="A60" s="20">
        <v>5403</v>
      </c>
      <c r="B60" s="274" t="s">
        <v>48</v>
      </c>
      <c r="C60" s="273">
        <v>12</v>
      </c>
      <c r="D60" s="273">
        <v>13</v>
      </c>
      <c r="E60" s="272">
        <v>68158</v>
      </c>
    </row>
    <row r="61" spans="1:5" ht="12.75">
      <c r="A61" s="20">
        <v>2064</v>
      </c>
      <c r="B61" s="274" t="s">
        <v>24</v>
      </c>
      <c r="C61" s="273">
        <v>21</v>
      </c>
      <c r="D61" s="273">
        <v>18</v>
      </c>
      <c r="E61" s="272">
        <v>164551</v>
      </c>
    </row>
    <row r="62" spans="1:5" ht="12.75">
      <c r="A62" s="20">
        <v>5406</v>
      </c>
      <c r="B62" s="274" t="s">
        <v>50</v>
      </c>
      <c r="C62" s="273">
        <v>9</v>
      </c>
      <c r="D62" s="273">
        <v>12</v>
      </c>
      <c r="E62" s="272">
        <v>80249</v>
      </c>
    </row>
    <row r="63" spans="1:5" ht="12.75">
      <c r="A63" s="20">
        <v>2045</v>
      </c>
      <c r="B63" s="274" t="s">
        <v>140</v>
      </c>
      <c r="C63" s="273">
        <v>3</v>
      </c>
      <c r="D63" s="273">
        <v>2</v>
      </c>
      <c r="E63" s="272">
        <v>5942</v>
      </c>
    </row>
    <row r="64" spans="1:5" ht="12.75">
      <c r="A64" s="20">
        <v>2080</v>
      </c>
      <c r="B64" s="274" t="s">
        <v>27</v>
      </c>
      <c r="C64" s="273">
        <v>3</v>
      </c>
      <c r="D64" s="273">
        <v>3</v>
      </c>
      <c r="E64" s="272">
        <v>26100</v>
      </c>
    </row>
    <row r="65" spans="1:5" ht="12.75">
      <c r="A65" s="20">
        <v>4023</v>
      </c>
      <c r="B65" s="274" t="s">
        <v>45</v>
      </c>
      <c r="C65" s="273">
        <v>12</v>
      </c>
      <c r="D65" s="273">
        <v>12</v>
      </c>
      <c r="E65" s="272">
        <v>81900</v>
      </c>
    </row>
    <row r="66" spans="1:5" ht="12.75">
      <c r="A66" s="20">
        <v>2048</v>
      </c>
      <c r="B66" s="274" t="s">
        <v>19</v>
      </c>
      <c r="C66" s="273">
        <v>4</v>
      </c>
      <c r="D66" s="273">
        <v>2</v>
      </c>
      <c r="E66" s="272">
        <v>16284</v>
      </c>
    </row>
    <row r="67" spans="1:5" ht="12.75">
      <c r="A67" s="20">
        <v>3405</v>
      </c>
      <c r="B67" s="274" t="s">
        <v>36</v>
      </c>
      <c r="C67" s="273">
        <v>10</v>
      </c>
      <c r="D67" s="273">
        <v>6</v>
      </c>
      <c r="E67" s="272">
        <v>44409</v>
      </c>
    </row>
    <row r="68" spans="1:5" ht="12.75">
      <c r="A68" s="20">
        <v>5208</v>
      </c>
      <c r="B68" s="274" t="s">
        <v>612</v>
      </c>
      <c r="C68" s="273">
        <v>4</v>
      </c>
      <c r="D68" s="273">
        <v>4</v>
      </c>
      <c r="E68" s="272">
        <v>34200</v>
      </c>
    </row>
    <row r="69" spans="1:5" ht="12.75">
      <c r="A69" s="20">
        <v>3402</v>
      </c>
      <c r="B69" s="274" t="s">
        <v>33</v>
      </c>
      <c r="C69" s="273">
        <v>3</v>
      </c>
      <c r="D69" s="273">
        <v>3</v>
      </c>
      <c r="E69" s="272">
        <v>20116</v>
      </c>
    </row>
    <row r="70" spans="1:5" ht="12.75">
      <c r="A70" s="20">
        <v>3403</v>
      </c>
      <c r="B70" s="274" t="s">
        <v>613</v>
      </c>
      <c r="C70" s="273">
        <v>3</v>
      </c>
      <c r="D70" s="273">
        <v>3</v>
      </c>
      <c r="E70" s="272">
        <v>19800</v>
      </c>
    </row>
    <row r="71" spans="1:5" ht="12.75">
      <c r="A71" s="20">
        <v>2035</v>
      </c>
      <c r="B71" s="274" t="s">
        <v>614</v>
      </c>
      <c r="C71" s="273">
        <v>5</v>
      </c>
      <c r="D71" s="273">
        <v>5</v>
      </c>
      <c r="E71" s="272">
        <v>58500</v>
      </c>
    </row>
    <row r="72" spans="1:5" ht="12.75">
      <c r="A72" s="20">
        <v>3404</v>
      </c>
      <c r="B72" s="274" t="s">
        <v>35</v>
      </c>
      <c r="C72" s="273">
        <v>6</v>
      </c>
      <c r="D72" s="273">
        <v>4</v>
      </c>
      <c r="E72" s="272">
        <v>45992</v>
      </c>
    </row>
    <row r="73" spans="1:5" ht="12.75">
      <c r="A73" s="20">
        <v>3306</v>
      </c>
      <c r="B73" s="274" t="s">
        <v>615</v>
      </c>
      <c r="C73" s="273">
        <v>7</v>
      </c>
      <c r="D73" s="273">
        <v>5</v>
      </c>
      <c r="E73" s="272">
        <v>40984</v>
      </c>
    </row>
    <row r="74" spans="1:5" ht="12.75">
      <c r="A74" s="20">
        <v>3400</v>
      </c>
      <c r="B74" s="274" t="s">
        <v>616</v>
      </c>
      <c r="C74" s="273">
        <v>1</v>
      </c>
      <c r="D74" s="273">
        <v>1</v>
      </c>
      <c r="E74" s="272">
        <v>6100</v>
      </c>
    </row>
    <row r="75" spans="1:5" ht="12.75">
      <c r="A75" s="20">
        <v>5410</v>
      </c>
      <c r="B75" s="274" t="s">
        <v>489</v>
      </c>
      <c r="C75" s="273">
        <v>15</v>
      </c>
      <c r="D75" s="273">
        <v>17</v>
      </c>
      <c r="E75" s="272">
        <v>83616</v>
      </c>
    </row>
    <row r="76" spans="1:5" ht="12.75">
      <c r="A76" s="20">
        <v>2004</v>
      </c>
      <c r="B76" s="274" t="s">
        <v>127</v>
      </c>
      <c r="C76" s="273">
        <v>3</v>
      </c>
      <c r="D76" s="273">
        <v>3</v>
      </c>
      <c r="E76" s="272">
        <v>23300</v>
      </c>
    </row>
    <row r="77" spans="1:5" ht="12.75">
      <c r="A77" s="20">
        <v>5408</v>
      </c>
      <c r="B77" s="274" t="s">
        <v>617</v>
      </c>
      <c r="C77" s="273">
        <v>10</v>
      </c>
      <c r="D77" s="273">
        <v>12</v>
      </c>
      <c r="E77" s="272">
        <v>49341</v>
      </c>
    </row>
    <row r="78" spans="1:5" ht="12.75">
      <c r="A78" s="20">
        <v>6906</v>
      </c>
      <c r="B78" s="274" t="s">
        <v>134</v>
      </c>
      <c r="C78" s="273">
        <v>13</v>
      </c>
      <c r="D78" s="273">
        <v>15</v>
      </c>
      <c r="E78" s="272">
        <v>79916</v>
      </c>
    </row>
    <row r="79" spans="1:5" ht="12.75">
      <c r="A79" s="20">
        <v>5404</v>
      </c>
      <c r="B79" s="274" t="s">
        <v>49</v>
      </c>
      <c r="C79" s="273">
        <v>15</v>
      </c>
      <c r="D79" s="273">
        <v>17</v>
      </c>
      <c r="E79" s="272">
        <v>92916</v>
      </c>
    </row>
    <row r="80" spans="1:5" ht="12.75">
      <c r="A80" s="20">
        <v>5402</v>
      </c>
      <c r="B80" s="274" t="s">
        <v>101</v>
      </c>
      <c r="C80" s="273">
        <v>18</v>
      </c>
      <c r="D80" s="273">
        <v>21</v>
      </c>
      <c r="E80" s="272">
        <v>138774</v>
      </c>
    </row>
    <row r="81" spans="1:5" ht="12.75">
      <c r="A81" s="20">
        <v>2065</v>
      </c>
      <c r="B81" s="274" t="s">
        <v>96</v>
      </c>
      <c r="C81" s="273">
        <v>7</v>
      </c>
      <c r="D81" s="273">
        <v>7</v>
      </c>
      <c r="E81" s="272">
        <v>56275</v>
      </c>
    </row>
    <row r="82" spans="1:5" ht="12.75">
      <c r="A82" s="20">
        <v>2051</v>
      </c>
      <c r="B82" s="274" t="s">
        <v>213</v>
      </c>
      <c r="C82" s="273">
        <v>14</v>
      </c>
      <c r="D82" s="273">
        <v>12</v>
      </c>
      <c r="E82" s="272">
        <v>99284</v>
      </c>
    </row>
    <row r="83" spans="1:5" ht="12.75">
      <c r="A83" s="20">
        <v>2069</v>
      </c>
      <c r="B83" s="274" t="s">
        <v>25</v>
      </c>
      <c r="C83" s="273">
        <v>2</v>
      </c>
      <c r="D83" s="273">
        <v>2</v>
      </c>
      <c r="E83" s="272">
        <v>21100</v>
      </c>
    </row>
    <row r="84" spans="1:5" ht="12.75">
      <c r="A84" s="20">
        <v>2052</v>
      </c>
      <c r="B84" s="274" t="s">
        <v>20</v>
      </c>
      <c r="C84" s="273">
        <v>14</v>
      </c>
      <c r="D84" s="273">
        <v>7</v>
      </c>
      <c r="E84" s="272">
        <v>50044</v>
      </c>
    </row>
    <row r="85" spans="1:5" ht="12.75">
      <c r="A85" s="20">
        <v>2074</v>
      </c>
      <c r="B85" s="274" t="s">
        <v>618</v>
      </c>
      <c r="C85" s="273">
        <v>4</v>
      </c>
      <c r="D85" s="273">
        <v>3</v>
      </c>
      <c r="E85" s="272">
        <v>32667</v>
      </c>
    </row>
    <row r="86" spans="1:5" ht="12.75">
      <c r="A86" s="20">
        <v>2054</v>
      </c>
      <c r="B86" s="274" t="s">
        <v>21</v>
      </c>
      <c r="C86" s="273">
        <v>6</v>
      </c>
      <c r="D86" s="273">
        <v>4</v>
      </c>
      <c r="E86" s="272">
        <v>35659</v>
      </c>
    </row>
    <row r="87" spans="1:5" ht="12.75">
      <c r="A87" s="20">
        <v>2049</v>
      </c>
      <c r="B87" s="274" t="s">
        <v>619</v>
      </c>
      <c r="C87" s="273">
        <v>9</v>
      </c>
      <c r="D87" s="273">
        <v>8</v>
      </c>
      <c r="E87" s="272">
        <v>52742</v>
      </c>
    </row>
    <row r="88" spans="1:5" ht="12.75">
      <c r="A88" s="20">
        <v>2082</v>
      </c>
      <c r="B88" s="274" t="s">
        <v>620</v>
      </c>
      <c r="C88" s="273">
        <v>15</v>
      </c>
      <c r="D88" s="273">
        <v>12</v>
      </c>
      <c r="E88" s="272">
        <v>104351</v>
      </c>
    </row>
    <row r="89" spans="1:5" ht="12.75">
      <c r="A89" s="20">
        <v>2060</v>
      </c>
      <c r="B89" s="274" t="s">
        <v>621</v>
      </c>
      <c r="C89" s="273">
        <v>3</v>
      </c>
      <c r="D89" s="273">
        <v>2</v>
      </c>
      <c r="E89" s="272">
        <v>23250</v>
      </c>
    </row>
    <row r="90" spans="1:5" ht="12.75">
      <c r="A90" s="20">
        <v>2059</v>
      </c>
      <c r="B90" s="274" t="s">
        <v>22</v>
      </c>
      <c r="C90" s="273">
        <v>6</v>
      </c>
      <c r="D90" s="273">
        <v>6</v>
      </c>
      <c r="E90" s="272">
        <v>46592</v>
      </c>
    </row>
    <row r="91" spans="1:5" ht="12.75">
      <c r="A91" s="24">
        <v>4014</v>
      </c>
      <c r="B91" s="274" t="s">
        <v>622</v>
      </c>
      <c r="C91" s="273">
        <v>2</v>
      </c>
      <c r="D91" s="273">
        <v>1</v>
      </c>
      <c r="E91" s="272">
        <v>12667</v>
      </c>
    </row>
    <row r="92" spans="2:5" ht="12.75">
      <c r="B92" s="275" t="s">
        <v>234</v>
      </c>
      <c r="C92" s="276">
        <f>SUM(C3:C91)</f>
        <v>716</v>
      </c>
      <c r="D92" s="276">
        <f>SUM(D3:D91)</f>
        <v>660</v>
      </c>
      <c r="E92" s="277">
        <f>SUM(E3:E91)</f>
        <v>4810026</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F30"/>
  <sheetViews>
    <sheetView zoomScalePageLayoutView="0" workbookViewId="0" topLeftCell="A1">
      <selection activeCell="CD5" sqref="CD5:CD55"/>
    </sheetView>
  </sheetViews>
  <sheetFormatPr defaultColWidth="12.7109375" defaultRowHeight="12.75"/>
  <cols>
    <col min="1" max="1" width="19.28125" style="70" customWidth="1"/>
    <col min="2" max="3" width="12.7109375" style="70" customWidth="1"/>
    <col min="4" max="4" width="12.7109375" style="373" customWidth="1"/>
    <col min="5" max="5" width="4.7109375" style="70" customWidth="1"/>
    <col min="6" max="6" width="15.57421875" style="373" bestFit="1" customWidth="1"/>
    <col min="7" max="16384" width="12.7109375" style="70" customWidth="1"/>
  </cols>
  <sheetData>
    <row r="1" spans="1:2" ht="18">
      <c r="A1" s="71" t="s">
        <v>223</v>
      </c>
      <c r="B1" s="100"/>
    </row>
    <row r="2" spans="1:2" ht="12.75">
      <c r="A2" s="72"/>
      <c r="B2" s="76"/>
    </row>
    <row r="4" ht="12.75">
      <c r="F4" s="374"/>
    </row>
    <row r="5" spans="1:6" ht="12.75">
      <c r="A5" s="72"/>
      <c r="D5" s="371"/>
      <c r="E5" s="371"/>
      <c r="F5" s="372" t="s">
        <v>119</v>
      </c>
    </row>
    <row r="6" spans="1:6" ht="12.75">
      <c r="A6" s="72"/>
      <c r="D6" s="372" t="s">
        <v>120</v>
      </c>
      <c r="E6" s="371"/>
      <c r="F6" s="372" t="s">
        <v>121</v>
      </c>
    </row>
    <row r="7" spans="4:6" ht="12.75">
      <c r="D7" s="371" t="s">
        <v>122</v>
      </c>
      <c r="E7" s="371"/>
      <c r="F7" s="371" t="s">
        <v>118</v>
      </c>
    </row>
    <row r="9" spans="1:6" ht="12.75">
      <c r="A9" s="70" t="s">
        <v>123</v>
      </c>
      <c r="D9" s="375"/>
      <c r="E9" s="75"/>
      <c r="F9" s="381">
        <f>'EYSFF Universal Hrs'!Y193</f>
        <v>236242</v>
      </c>
    </row>
    <row r="10" spans="4:6" ht="13.5" customHeight="1">
      <c r="D10" s="375"/>
      <c r="E10" s="75"/>
      <c r="F10" s="375"/>
    </row>
    <row r="11" spans="1:6" ht="13.5" customHeight="1">
      <c r="A11" s="74" t="s">
        <v>120</v>
      </c>
      <c r="D11" s="375"/>
      <c r="E11" s="75"/>
      <c r="F11" s="375"/>
    </row>
    <row r="12" spans="1:6" ht="13.5" customHeight="1">
      <c r="A12" s="73" t="s">
        <v>126</v>
      </c>
      <c r="D12" s="375">
        <v>4.915526586568746</v>
      </c>
      <c r="E12" s="75"/>
      <c r="F12" s="375"/>
    </row>
    <row r="13" spans="1:6" ht="13.5" customHeight="1">
      <c r="A13" s="73" t="s">
        <v>117</v>
      </c>
      <c r="D13" s="375">
        <v>0.5288459131466907</v>
      </c>
      <c r="E13" s="75"/>
      <c r="F13" s="375"/>
    </row>
    <row r="14" spans="1:6" ht="13.5" customHeight="1" thickBot="1">
      <c r="A14" s="73" t="s">
        <v>210</v>
      </c>
      <c r="D14" s="375">
        <v>0.30354460766261576</v>
      </c>
      <c r="E14" s="75"/>
      <c r="F14" s="375"/>
    </row>
    <row r="15" spans="1:6" ht="13.5" thickBot="1">
      <c r="A15" s="70" t="s">
        <v>124</v>
      </c>
      <c r="D15" s="376">
        <f>SUM(D12:D14)</f>
        <v>5.747917107378052</v>
      </c>
      <c r="E15" s="75"/>
      <c r="F15" s="375"/>
    </row>
    <row r="16" spans="4:6" ht="13.5" thickBot="1">
      <c r="D16" s="375"/>
      <c r="E16" s="75"/>
      <c r="F16" s="375"/>
    </row>
    <row r="17" spans="1:6" ht="13.5" thickBot="1">
      <c r="A17" s="70" t="s">
        <v>478</v>
      </c>
      <c r="D17" s="377">
        <f>'EYSFF Universal Hrs'!H193</f>
        <v>59835</v>
      </c>
      <c r="E17" s="75"/>
      <c r="F17" s="375">
        <f>D15*D17</f>
        <v>343926.62011996575</v>
      </c>
    </row>
    <row r="18" spans="4:6" s="369" customFormat="1" ht="13.5" thickBot="1">
      <c r="D18" s="378"/>
      <c r="E18" s="370"/>
      <c r="F18" s="382"/>
    </row>
    <row r="19" spans="1:6" s="369" customFormat="1" ht="13.5" thickBot="1">
      <c r="A19" s="369" t="s">
        <v>479</v>
      </c>
      <c r="D19" s="377">
        <f>'EYSFF Extended Hrs'!H149</f>
        <v>13828.75</v>
      </c>
      <c r="E19" s="370"/>
      <c r="F19" s="382">
        <f>D15*D19</f>
        <v>79486.50869865424</v>
      </c>
    </row>
    <row r="21" ht="13.5" thickBot="1"/>
    <row r="22" spans="1:6" ht="16.5" thickBot="1">
      <c r="A22" s="77" t="s">
        <v>125</v>
      </c>
      <c r="B22" s="78"/>
      <c r="C22" s="78"/>
      <c r="D22" s="379"/>
      <c r="E22" s="78"/>
      <c r="F22" s="383">
        <f>SUM(F9:F19)</f>
        <v>659655.12881862</v>
      </c>
    </row>
    <row r="23" ht="12.75">
      <c r="F23" s="375"/>
    </row>
    <row r="25" spans="1:4" ht="12.75">
      <c r="A25" s="72" t="s">
        <v>235</v>
      </c>
      <c r="D25" s="380">
        <f>'Top Up SEN'!E48</f>
        <v>2083</v>
      </c>
    </row>
    <row r="30" ht="12.75">
      <c r="A30" s="75"/>
    </row>
  </sheetData>
  <sheetProtection/>
  <printOptions/>
  <pageMargins left="0.75" right="0.75" top="1" bottom="1" header="0.5" footer="0.5"/>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sheetPr>
  <dimension ref="A1:L95"/>
  <sheetViews>
    <sheetView zoomScalePageLayoutView="0" workbookViewId="0" topLeftCell="A1">
      <selection activeCell="CD5" sqref="CD5:CD55"/>
    </sheetView>
  </sheetViews>
  <sheetFormatPr defaultColWidth="9.140625" defaultRowHeight="12.75"/>
  <cols>
    <col min="1" max="1" width="9.140625" style="389" customWidth="1"/>
    <col min="2" max="2" width="33.140625" style="389" customWidth="1"/>
    <col min="3" max="3" width="1.1484375" style="389" customWidth="1"/>
    <col min="4" max="4" width="11.00390625" style="389" bestFit="1" customWidth="1"/>
    <col min="5" max="5" width="11.00390625" style="389" customWidth="1"/>
    <col min="6" max="6" width="10.28125" style="389" bestFit="1" customWidth="1"/>
    <col min="7" max="7" width="9.140625" style="389" customWidth="1"/>
    <col min="8" max="8" width="12.28125" style="390" customWidth="1"/>
    <col min="9" max="254" width="9.140625" style="389" customWidth="1"/>
    <col min="255" max="255" width="33.140625" style="389" customWidth="1"/>
    <col min="256" max="16384" width="1.1484375" style="389" customWidth="1"/>
  </cols>
  <sheetData>
    <row r="1" ht="15" customHeight="1">
      <c r="A1" s="388" t="s">
        <v>483</v>
      </c>
    </row>
    <row r="2" ht="15.75">
      <c r="A2" s="388"/>
    </row>
    <row r="3" spans="3:8" ht="12.75">
      <c r="C3" s="391"/>
      <c r="D3" s="446" t="s">
        <v>493</v>
      </c>
      <c r="E3" s="447"/>
      <c r="F3" s="447"/>
      <c r="G3" s="447"/>
      <c r="H3" s="448"/>
    </row>
    <row r="4" spans="1:8" s="392" customFormat="1" ht="63.75">
      <c r="A4" s="395" t="s">
        <v>74</v>
      </c>
      <c r="B4" s="395" t="s">
        <v>155</v>
      </c>
      <c r="C4" s="396"/>
      <c r="D4" s="397" t="s">
        <v>494</v>
      </c>
      <c r="E4" s="397" t="s">
        <v>495</v>
      </c>
      <c r="F4" s="398" t="s">
        <v>484</v>
      </c>
      <c r="G4" s="398" t="s">
        <v>485</v>
      </c>
      <c r="H4" s="399" t="s">
        <v>486</v>
      </c>
    </row>
    <row r="5" spans="1:12" ht="12.75">
      <c r="A5" s="400">
        <v>2001</v>
      </c>
      <c r="B5" s="401" t="s">
        <v>496</v>
      </c>
      <c r="C5" s="402"/>
      <c r="D5" s="402">
        <v>552</v>
      </c>
      <c r="E5" s="402">
        <v>9</v>
      </c>
      <c r="F5" s="402">
        <f>ROUND(D5*0.02,0)</f>
        <v>11</v>
      </c>
      <c r="G5" s="402">
        <f>E5-F5</f>
        <v>-2</v>
      </c>
      <c r="H5" s="403">
        <f>IF(G5&gt;0,G5*6000,0)</f>
        <v>0</v>
      </c>
      <c r="L5" s="393"/>
    </row>
    <row r="6" spans="1:12" ht="12.75">
      <c r="A6" s="400">
        <v>2002</v>
      </c>
      <c r="B6" s="404" t="s">
        <v>497</v>
      </c>
      <c r="C6" s="402"/>
      <c r="D6" s="402">
        <v>404</v>
      </c>
      <c r="E6" s="402">
        <v>4</v>
      </c>
      <c r="F6" s="402">
        <f aca="true" t="shared" si="0" ref="F6:F69">ROUND(D6*0.02,0)</f>
        <v>8</v>
      </c>
      <c r="G6" s="402">
        <f aca="true" t="shared" si="1" ref="G6:G69">E6-F6</f>
        <v>-4</v>
      </c>
      <c r="H6" s="403">
        <f aca="true" t="shared" si="2" ref="H6:H69">IF(G6&gt;0,G6*6000,0)</f>
        <v>0</v>
      </c>
      <c r="L6" s="393"/>
    </row>
    <row r="7" spans="1:12" ht="12.75">
      <c r="A7" s="400">
        <v>2003</v>
      </c>
      <c r="B7" s="402" t="s">
        <v>498</v>
      </c>
      <c r="C7" s="402"/>
      <c r="D7" s="402">
        <v>226</v>
      </c>
      <c r="E7" s="402">
        <v>3</v>
      </c>
      <c r="F7" s="402">
        <f t="shared" si="0"/>
        <v>5</v>
      </c>
      <c r="G7" s="402">
        <f t="shared" si="1"/>
        <v>-2</v>
      </c>
      <c r="H7" s="403">
        <f t="shared" si="2"/>
        <v>0</v>
      </c>
      <c r="L7" s="393"/>
    </row>
    <row r="8" spans="1:12" ht="12.75">
      <c r="A8" s="400">
        <v>2004</v>
      </c>
      <c r="B8" s="402" t="s">
        <v>499</v>
      </c>
      <c r="C8" s="402"/>
      <c r="D8" s="402">
        <v>611</v>
      </c>
      <c r="E8" s="402">
        <v>2</v>
      </c>
      <c r="F8" s="402">
        <f t="shared" si="0"/>
        <v>12</v>
      </c>
      <c r="G8" s="402">
        <f t="shared" si="1"/>
        <v>-10</v>
      </c>
      <c r="H8" s="403">
        <f t="shared" si="2"/>
        <v>0</v>
      </c>
      <c r="L8" s="393"/>
    </row>
    <row r="9" spans="1:12" ht="12.75">
      <c r="A9" s="400">
        <v>2010</v>
      </c>
      <c r="B9" s="402" t="s">
        <v>500</v>
      </c>
      <c r="C9" s="402"/>
      <c r="D9" s="402">
        <v>594</v>
      </c>
      <c r="E9" s="402">
        <v>16</v>
      </c>
      <c r="F9" s="402">
        <f t="shared" si="0"/>
        <v>12</v>
      </c>
      <c r="G9" s="402">
        <f t="shared" si="1"/>
        <v>4</v>
      </c>
      <c r="H9" s="403">
        <f t="shared" si="2"/>
        <v>24000</v>
      </c>
      <c r="L9" s="393"/>
    </row>
    <row r="10" spans="1:12" ht="12.75">
      <c r="A10" s="400">
        <v>2011</v>
      </c>
      <c r="B10" s="402" t="s">
        <v>501</v>
      </c>
      <c r="C10" s="402"/>
      <c r="D10" s="402">
        <v>295</v>
      </c>
      <c r="E10" s="402">
        <v>4</v>
      </c>
      <c r="F10" s="402">
        <f t="shared" si="0"/>
        <v>6</v>
      </c>
      <c r="G10" s="402">
        <f t="shared" si="1"/>
        <v>-2</v>
      </c>
      <c r="H10" s="403">
        <f t="shared" si="2"/>
        <v>0</v>
      </c>
      <c r="L10" s="393"/>
    </row>
    <row r="11" spans="1:12" ht="12.75">
      <c r="A11" s="400">
        <v>2012</v>
      </c>
      <c r="B11" s="404" t="s">
        <v>502</v>
      </c>
      <c r="C11" s="402"/>
      <c r="D11" s="402">
        <v>233</v>
      </c>
      <c r="E11" s="402">
        <v>7</v>
      </c>
      <c r="F11" s="402">
        <f t="shared" si="0"/>
        <v>5</v>
      </c>
      <c r="G11" s="402">
        <f t="shared" si="1"/>
        <v>2</v>
      </c>
      <c r="H11" s="403">
        <f t="shared" si="2"/>
        <v>12000</v>
      </c>
      <c r="L11" s="393"/>
    </row>
    <row r="12" spans="1:12" ht="12.75">
      <c r="A12" s="400">
        <v>2016</v>
      </c>
      <c r="B12" s="402" t="s">
        <v>503</v>
      </c>
      <c r="C12" s="402"/>
      <c r="D12" s="402">
        <v>610</v>
      </c>
      <c r="E12" s="402">
        <v>2</v>
      </c>
      <c r="F12" s="402">
        <f t="shared" si="0"/>
        <v>12</v>
      </c>
      <c r="G12" s="402">
        <f t="shared" si="1"/>
        <v>-10</v>
      </c>
      <c r="H12" s="403">
        <f t="shared" si="2"/>
        <v>0</v>
      </c>
      <c r="L12" s="393"/>
    </row>
    <row r="13" spans="1:12" ht="12.75">
      <c r="A13" s="400">
        <v>2017</v>
      </c>
      <c r="B13" s="402" t="s">
        <v>504</v>
      </c>
      <c r="C13" s="402"/>
      <c r="D13" s="402">
        <v>361</v>
      </c>
      <c r="E13" s="402">
        <v>5</v>
      </c>
      <c r="F13" s="402">
        <f t="shared" si="0"/>
        <v>7</v>
      </c>
      <c r="G13" s="402">
        <f t="shared" si="1"/>
        <v>-2</v>
      </c>
      <c r="H13" s="403">
        <f t="shared" si="2"/>
        <v>0</v>
      </c>
      <c r="L13" s="393"/>
    </row>
    <row r="14" spans="1:12" ht="12.75">
      <c r="A14" s="400">
        <v>2018</v>
      </c>
      <c r="B14" s="404" t="s">
        <v>505</v>
      </c>
      <c r="C14" s="402"/>
      <c r="D14" s="402">
        <v>405</v>
      </c>
      <c r="E14" s="402">
        <v>4</v>
      </c>
      <c r="F14" s="402">
        <f t="shared" si="0"/>
        <v>8</v>
      </c>
      <c r="G14" s="402">
        <f t="shared" si="1"/>
        <v>-4</v>
      </c>
      <c r="H14" s="403">
        <f t="shared" si="2"/>
        <v>0</v>
      </c>
      <c r="L14" s="393"/>
    </row>
    <row r="15" spans="1:12" ht="12.75">
      <c r="A15" s="400">
        <v>2019</v>
      </c>
      <c r="B15" s="404" t="s">
        <v>506</v>
      </c>
      <c r="C15" s="402"/>
      <c r="D15" s="402">
        <v>352</v>
      </c>
      <c r="E15" s="402">
        <v>12</v>
      </c>
      <c r="F15" s="402">
        <f t="shared" si="0"/>
        <v>7</v>
      </c>
      <c r="G15" s="402">
        <f t="shared" si="1"/>
        <v>5</v>
      </c>
      <c r="H15" s="403">
        <f t="shared" si="2"/>
        <v>30000</v>
      </c>
      <c r="L15" s="393"/>
    </row>
    <row r="16" spans="1:12" ht="12.75">
      <c r="A16" s="400">
        <v>2020</v>
      </c>
      <c r="B16" s="404" t="s">
        <v>507</v>
      </c>
      <c r="C16" s="402"/>
      <c r="D16" s="402">
        <v>529</v>
      </c>
      <c r="E16" s="402">
        <v>6</v>
      </c>
      <c r="F16" s="402">
        <f t="shared" si="0"/>
        <v>11</v>
      </c>
      <c r="G16" s="402">
        <f t="shared" si="1"/>
        <v>-5</v>
      </c>
      <c r="H16" s="403">
        <f t="shared" si="2"/>
        <v>0</v>
      </c>
      <c r="L16" s="393"/>
    </row>
    <row r="17" spans="1:12" ht="12.75">
      <c r="A17" s="400">
        <v>2021</v>
      </c>
      <c r="B17" s="404" t="s">
        <v>439</v>
      </c>
      <c r="C17" s="402"/>
      <c r="D17" s="402">
        <v>396</v>
      </c>
      <c r="E17" s="402">
        <v>3</v>
      </c>
      <c r="F17" s="402">
        <f t="shared" si="0"/>
        <v>8</v>
      </c>
      <c r="G17" s="402">
        <f t="shared" si="1"/>
        <v>-5</v>
      </c>
      <c r="H17" s="403">
        <f t="shared" si="2"/>
        <v>0</v>
      </c>
      <c r="L17" s="393"/>
    </row>
    <row r="18" spans="1:12" ht="12.75">
      <c r="A18" s="400">
        <v>2022</v>
      </c>
      <c r="B18" s="404" t="s">
        <v>508</v>
      </c>
      <c r="C18" s="402"/>
      <c r="D18" s="402">
        <v>198</v>
      </c>
      <c r="E18" s="402">
        <v>0</v>
      </c>
      <c r="F18" s="402">
        <f t="shared" si="0"/>
        <v>4</v>
      </c>
      <c r="G18" s="402">
        <f t="shared" si="1"/>
        <v>-4</v>
      </c>
      <c r="H18" s="403">
        <f t="shared" si="2"/>
        <v>0</v>
      </c>
      <c r="L18" s="393"/>
    </row>
    <row r="19" spans="1:12" ht="12.75">
      <c r="A19" s="400">
        <v>2023</v>
      </c>
      <c r="B19" s="402" t="s">
        <v>509</v>
      </c>
      <c r="C19" s="402"/>
      <c r="D19" s="402">
        <v>277</v>
      </c>
      <c r="E19" s="402">
        <v>10</v>
      </c>
      <c r="F19" s="402">
        <f t="shared" si="0"/>
        <v>6</v>
      </c>
      <c r="G19" s="402">
        <f t="shared" si="1"/>
        <v>4</v>
      </c>
      <c r="H19" s="403">
        <f t="shared" si="2"/>
        <v>24000</v>
      </c>
      <c r="L19" s="393"/>
    </row>
    <row r="20" spans="1:12" ht="12.75">
      <c r="A20" s="400">
        <v>2024</v>
      </c>
      <c r="B20" s="404" t="s">
        <v>510</v>
      </c>
      <c r="C20" s="402"/>
      <c r="D20" s="402">
        <v>221</v>
      </c>
      <c r="E20" s="402">
        <v>1</v>
      </c>
      <c r="F20" s="402">
        <f t="shared" si="0"/>
        <v>4</v>
      </c>
      <c r="G20" s="402">
        <f t="shared" si="1"/>
        <v>-3</v>
      </c>
      <c r="H20" s="403">
        <f t="shared" si="2"/>
        <v>0</v>
      </c>
      <c r="L20" s="393"/>
    </row>
    <row r="21" spans="1:12" ht="12.75">
      <c r="A21" s="400">
        <v>2025</v>
      </c>
      <c r="B21" s="404" t="s">
        <v>511</v>
      </c>
      <c r="C21" s="402"/>
      <c r="D21" s="402">
        <v>499</v>
      </c>
      <c r="E21" s="402">
        <v>8</v>
      </c>
      <c r="F21" s="402">
        <f t="shared" si="0"/>
        <v>10</v>
      </c>
      <c r="G21" s="402">
        <f t="shared" si="1"/>
        <v>-2</v>
      </c>
      <c r="H21" s="403">
        <f t="shared" si="2"/>
        <v>0</v>
      </c>
      <c r="L21" s="393"/>
    </row>
    <row r="22" spans="1:12" ht="12.75">
      <c r="A22" s="400">
        <v>2026</v>
      </c>
      <c r="B22" s="402" t="s">
        <v>512</v>
      </c>
      <c r="C22" s="402"/>
      <c r="D22" s="402">
        <v>194</v>
      </c>
      <c r="E22" s="402">
        <v>4</v>
      </c>
      <c r="F22" s="402">
        <f t="shared" si="0"/>
        <v>4</v>
      </c>
      <c r="G22" s="402">
        <f t="shared" si="1"/>
        <v>0</v>
      </c>
      <c r="H22" s="403">
        <f t="shared" si="2"/>
        <v>0</v>
      </c>
      <c r="L22" s="393"/>
    </row>
    <row r="23" spans="1:12" ht="12.75">
      <c r="A23" s="400">
        <v>2027</v>
      </c>
      <c r="B23" s="402" t="s">
        <v>444</v>
      </c>
      <c r="C23" s="402"/>
      <c r="D23" s="402">
        <v>304</v>
      </c>
      <c r="E23" s="402">
        <v>3</v>
      </c>
      <c r="F23" s="402">
        <f t="shared" si="0"/>
        <v>6</v>
      </c>
      <c r="G23" s="402">
        <f t="shared" si="1"/>
        <v>-3</v>
      </c>
      <c r="H23" s="403">
        <f t="shared" si="2"/>
        <v>0</v>
      </c>
      <c r="L23" s="393"/>
    </row>
    <row r="24" spans="1:12" ht="12.75">
      <c r="A24" s="400">
        <v>2028</v>
      </c>
      <c r="B24" s="402" t="s">
        <v>446</v>
      </c>
      <c r="C24" s="402"/>
      <c r="D24" s="402">
        <v>353</v>
      </c>
      <c r="E24" s="402">
        <v>14</v>
      </c>
      <c r="F24" s="402">
        <f t="shared" si="0"/>
        <v>7</v>
      </c>
      <c r="G24" s="402">
        <f t="shared" si="1"/>
        <v>7</v>
      </c>
      <c r="H24" s="403">
        <f t="shared" si="2"/>
        <v>42000</v>
      </c>
      <c r="L24" s="393"/>
    </row>
    <row r="25" spans="1:12" ht="12.75">
      <c r="A25" s="400">
        <v>2029</v>
      </c>
      <c r="B25" s="404" t="s">
        <v>513</v>
      </c>
      <c r="C25" s="402"/>
      <c r="D25" s="402">
        <v>402</v>
      </c>
      <c r="E25" s="402">
        <v>7</v>
      </c>
      <c r="F25" s="402">
        <f t="shared" si="0"/>
        <v>8</v>
      </c>
      <c r="G25" s="402">
        <f t="shared" si="1"/>
        <v>-1</v>
      </c>
      <c r="H25" s="403">
        <f t="shared" si="2"/>
        <v>0</v>
      </c>
      <c r="L25" s="393"/>
    </row>
    <row r="26" spans="1:12" ht="12.75">
      <c r="A26" s="400">
        <v>2032</v>
      </c>
      <c r="B26" s="402" t="s">
        <v>514</v>
      </c>
      <c r="C26" s="402"/>
      <c r="D26" s="402">
        <v>307</v>
      </c>
      <c r="E26" s="402">
        <v>2</v>
      </c>
      <c r="F26" s="402">
        <f t="shared" si="0"/>
        <v>6</v>
      </c>
      <c r="G26" s="402">
        <f t="shared" si="1"/>
        <v>-4</v>
      </c>
      <c r="H26" s="403">
        <f t="shared" si="2"/>
        <v>0</v>
      </c>
      <c r="L26" s="393"/>
    </row>
    <row r="27" spans="1:12" ht="12.75">
      <c r="A27" s="400">
        <v>2033</v>
      </c>
      <c r="B27" s="402" t="s">
        <v>515</v>
      </c>
      <c r="C27" s="402"/>
      <c r="D27" s="402">
        <v>262</v>
      </c>
      <c r="E27" s="402">
        <v>7</v>
      </c>
      <c r="F27" s="402">
        <f t="shared" si="0"/>
        <v>5</v>
      </c>
      <c r="G27" s="402">
        <f t="shared" si="1"/>
        <v>2</v>
      </c>
      <c r="H27" s="403">
        <f t="shared" si="2"/>
        <v>12000</v>
      </c>
      <c r="L27" s="393"/>
    </row>
    <row r="28" spans="1:12" ht="12.75">
      <c r="A28" s="400">
        <v>2035</v>
      </c>
      <c r="B28" s="404" t="s">
        <v>458</v>
      </c>
      <c r="C28" s="402"/>
      <c r="D28" s="402">
        <v>124</v>
      </c>
      <c r="E28" s="402">
        <v>1</v>
      </c>
      <c r="F28" s="402">
        <f t="shared" si="0"/>
        <v>2</v>
      </c>
      <c r="G28" s="402">
        <f t="shared" si="1"/>
        <v>-1</v>
      </c>
      <c r="H28" s="403">
        <f t="shared" si="2"/>
        <v>0</v>
      </c>
      <c r="L28" s="393"/>
    </row>
    <row r="29" spans="1:12" ht="12.75">
      <c r="A29" s="400">
        <v>2036</v>
      </c>
      <c r="B29" s="402" t="s">
        <v>516</v>
      </c>
      <c r="C29" s="402"/>
      <c r="D29" s="402">
        <v>441</v>
      </c>
      <c r="E29" s="402">
        <v>7</v>
      </c>
      <c r="F29" s="402">
        <f t="shared" si="0"/>
        <v>9</v>
      </c>
      <c r="G29" s="402">
        <f t="shared" si="1"/>
        <v>-2</v>
      </c>
      <c r="H29" s="403">
        <f t="shared" si="2"/>
        <v>0</v>
      </c>
      <c r="L29" s="393"/>
    </row>
    <row r="30" spans="1:12" ht="12.75">
      <c r="A30" s="400">
        <v>2037</v>
      </c>
      <c r="B30" s="404" t="s">
        <v>517</v>
      </c>
      <c r="C30" s="402"/>
      <c r="D30" s="402">
        <v>335</v>
      </c>
      <c r="E30" s="402">
        <v>5</v>
      </c>
      <c r="F30" s="402">
        <f t="shared" si="0"/>
        <v>7</v>
      </c>
      <c r="G30" s="402">
        <f t="shared" si="1"/>
        <v>-2</v>
      </c>
      <c r="H30" s="403">
        <f t="shared" si="2"/>
        <v>0</v>
      </c>
      <c r="L30" s="393"/>
    </row>
    <row r="31" spans="1:12" ht="12.75">
      <c r="A31" s="400">
        <v>2038</v>
      </c>
      <c r="B31" s="404" t="s">
        <v>518</v>
      </c>
      <c r="C31" s="402"/>
      <c r="D31" s="402">
        <v>360</v>
      </c>
      <c r="E31" s="402">
        <v>4</v>
      </c>
      <c r="F31" s="402">
        <f t="shared" si="0"/>
        <v>7</v>
      </c>
      <c r="G31" s="402">
        <f t="shared" si="1"/>
        <v>-3</v>
      </c>
      <c r="H31" s="403">
        <f t="shared" si="2"/>
        <v>0</v>
      </c>
      <c r="L31" s="393"/>
    </row>
    <row r="32" spans="1:12" ht="12.75">
      <c r="A32" s="400">
        <v>2039</v>
      </c>
      <c r="B32" s="404" t="s">
        <v>519</v>
      </c>
      <c r="C32" s="402"/>
      <c r="D32" s="402">
        <v>270</v>
      </c>
      <c r="E32" s="402">
        <v>5</v>
      </c>
      <c r="F32" s="402">
        <f t="shared" si="0"/>
        <v>5</v>
      </c>
      <c r="G32" s="402">
        <f t="shared" si="1"/>
        <v>0</v>
      </c>
      <c r="H32" s="403">
        <f t="shared" si="2"/>
        <v>0</v>
      </c>
      <c r="L32" s="393"/>
    </row>
    <row r="33" spans="1:12" ht="12.75">
      <c r="A33" s="400">
        <v>2040</v>
      </c>
      <c r="B33" s="405" t="s">
        <v>520</v>
      </c>
      <c r="C33" s="402"/>
      <c r="D33" s="402">
        <v>753</v>
      </c>
      <c r="E33" s="402">
        <v>9</v>
      </c>
      <c r="F33" s="402">
        <f t="shared" si="0"/>
        <v>15</v>
      </c>
      <c r="G33" s="402">
        <f t="shared" si="1"/>
        <v>-6</v>
      </c>
      <c r="H33" s="403">
        <f t="shared" si="2"/>
        <v>0</v>
      </c>
      <c r="L33" s="393"/>
    </row>
    <row r="34" spans="1:12" ht="12.75">
      <c r="A34" s="400">
        <v>2045</v>
      </c>
      <c r="B34" s="404" t="s">
        <v>490</v>
      </c>
      <c r="C34" s="402"/>
      <c r="D34" s="402">
        <v>391</v>
      </c>
      <c r="E34" s="402">
        <v>4</v>
      </c>
      <c r="F34" s="402">
        <f t="shared" si="0"/>
        <v>8</v>
      </c>
      <c r="G34" s="402">
        <f t="shared" si="1"/>
        <v>-4</v>
      </c>
      <c r="H34" s="403">
        <f t="shared" si="2"/>
        <v>0</v>
      </c>
      <c r="L34" s="393"/>
    </row>
    <row r="35" spans="1:12" ht="12.75">
      <c r="A35" s="400">
        <v>2048</v>
      </c>
      <c r="B35" s="402" t="s">
        <v>521</v>
      </c>
      <c r="C35" s="402"/>
      <c r="D35" s="402">
        <v>394</v>
      </c>
      <c r="E35" s="402">
        <v>4</v>
      </c>
      <c r="F35" s="402">
        <f t="shared" si="0"/>
        <v>8</v>
      </c>
      <c r="G35" s="402">
        <f t="shared" si="1"/>
        <v>-4</v>
      </c>
      <c r="H35" s="403">
        <f t="shared" si="2"/>
        <v>0</v>
      </c>
      <c r="L35" s="393"/>
    </row>
    <row r="36" spans="1:12" ht="12.75">
      <c r="A36" s="400">
        <v>2049</v>
      </c>
      <c r="B36" s="404" t="s">
        <v>487</v>
      </c>
      <c r="C36" s="402"/>
      <c r="D36" s="402">
        <v>546</v>
      </c>
      <c r="E36" s="402">
        <v>11</v>
      </c>
      <c r="F36" s="402">
        <f t="shared" si="0"/>
        <v>11</v>
      </c>
      <c r="G36" s="402">
        <f t="shared" si="1"/>
        <v>0</v>
      </c>
      <c r="H36" s="403">
        <f t="shared" si="2"/>
        <v>0</v>
      </c>
      <c r="L36" s="393"/>
    </row>
    <row r="37" spans="1:12" ht="12.75">
      <c r="A37" s="400">
        <v>2051</v>
      </c>
      <c r="B37" s="402" t="s">
        <v>522</v>
      </c>
      <c r="C37" s="402"/>
      <c r="D37" s="402">
        <v>536</v>
      </c>
      <c r="E37" s="402">
        <v>15</v>
      </c>
      <c r="F37" s="402">
        <f t="shared" si="0"/>
        <v>11</v>
      </c>
      <c r="G37" s="402">
        <f t="shared" si="1"/>
        <v>4</v>
      </c>
      <c r="H37" s="403">
        <f t="shared" si="2"/>
        <v>24000</v>
      </c>
      <c r="L37" s="393"/>
    </row>
    <row r="38" spans="1:12" ht="12.75">
      <c r="A38" s="400">
        <v>2052</v>
      </c>
      <c r="B38" s="402" t="s">
        <v>523</v>
      </c>
      <c r="C38" s="402"/>
      <c r="D38" s="402">
        <v>403</v>
      </c>
      <c r="E38" s="402">
        <v>13</v>
      </c>
      <c r="F38" s="402">
        <f t="shared" si="0"/>
        <v>8</v>
      </c>
      <c r="G38" s="402">
        <f t="shared" si="1"/>
        <v>5</v>
      </c>
      <c r="H38" s="403">
        <f t="shared" si="2"/>
        <v>30000</v>
      </c>
      <c r="L38" s="393"/>
    </row>
    <row r="39" spans="1:12" ht="12.75">
      <c r="A39" s="400">
        <v>2054</v>
      </c>
      <c r="B39" s="402" t="s">
        <v>524</v>
      </c>
      <c r="C39" s="402"/>
      <c r="D39" s="402">
        <v>353</v>
      </c>
      <c r="E39" s="402">
        <v>6</v>
      </c>
      <c r="F39" s="402">
        <f t="shared" si="0"/>
        <v>7</v>
      </c>
      <c r="G39" s="402">
        <f t="shared" si="1"/>
        <v>-1</v>
      </c>
      <c r="H39" s="403">
        <f t="shared" si="2"/>
        <v>0</v>
      </c>
      <c r="L39" s="393"/>
    </row>
    <row r="40" spans="1:12" ht="12.75">
      <c r="A40" s="400">
        <v>2059</v>
      </c>
      <c r="B40" s="404" t="s">
        <v>525</v>
      </c>
      <c r="C40" s="402"/>
      <c r="D40" s="402">
        <v>479</v>
      </c>
      <c r="E40" s="402">
        <v>6</v>
      </c>
      <c r="F40" s="402">
        <f t="shared" si="0"/>
        <v>10</v>
      </c>
      <c r="G40" s="402">
        <f t="shared" si="1"/>
        <v>-4</v>
      </c>
      <c r="H40" s="403">
        <f t="shared" si="2"/>
        <v>0</v>
      </c>
      <c r="L40" s="393"/>
    </row>
    <row r="41" spans="1:12" ht="12.75">
      <c r="A41" s="400">
        <v>2060</v>
      </c>
      <c r="B41" s="402" t="s">
        <v>526</v>
      </c>
      <c r="C41" s="402"/>
      <c r="D41" s="402">
        <v>361</v>
      </c>
      <c r="E41" s="402">
        <v>3</v>
      </c>
      <c r="F41" s="402">
        <f t="shared" si="0"/>
        <v>7</v>
      </c>
      <c r="G41" s="402">
        <f t="shared" si="1"/>
        <v>-4</v>
      </c>
      <c r="H41" s="403">
        <f t="shared" si="2"/>
        <v>0</v>
      </c>
      <c r="L41" s="393"/>
    </row>
    <row r="42" spans="1:12" ht="12.75">
      <c r="A42" s="400">
        <v>2061</v>
      </c>
      <c r="B42" s="402" t="s">
        <v>527</v>
      </c>
      <c r="C42" s="402"/>
      <c r="D42" s="402">
        <v>374</v>
      </c>
      <c r="E42" s="402">
        <v>2</v>
      </c>
      <c r="F42" s="402">
        <f t="shared" si="0"/>
        <v>7</v>
      </c>
      <c r="G42" s="402">
        <f t="shared" si="1"/>
        <v>-5</v>
      </c>
      <c r="H42" s="403">
        <f t="shared" si="2"/>
        <v>0</v>
      </c>
      <c r="L42" s="393"/>
    </row>
    <row r="43" spans="1:12" ht="12.75">
      <c r="A43" s="400">
        <v>2063</v>
      </c>
      <c r="B43" s="404" t="s">
        <v>528</v>
      </c>
      <c r="C43" s="402"/>
      <c r="D43" s="402">
        <v>376</v>
      </c>
      <c r="E43" s="402">
        <v>3</v>
      </c>
      <c r="F43" s="402">
        <f t="shared" si="0"/>
        <v>8</v>
      </c>
      <c r="G43" s="402">
        <f t="shared" si="1"/>
        <v>-5</v>
      </c>
      <c r="H43" s="403">
        <f t="shared" si="2"/>
        <v>0</v>
      </c>
      <c r="L43" s="393"/>
    </row>
    <row r="44" spans="1:12" ht="12.75">
      <c r="A44" s="400">
        <v>2064</v>
      </c>
      <c r="B44" s="402" t="s">
        <v>529</v>
      </c>
      <c r="C44" s="402"/>
      <c r="D44" s="402">
        <v>540</v>
      </c>
      <c r="E44" s="402">
        <v>21</v>
      </c>
      <c r="F44" s="402">
        <f t="shared" si="0"/>
        <v>11</v>
      </c>
      <c r="G44" s="402">
        <f t="shared" si="1"/>
        <v>10</v>
      </c>
      <c r="H44" s="403">
        <f t="shared" si="2"/>
        <v>60000</v>
      </c>
      <c r="L44" s="393"/>
    </row>
    <row r="45" spans="1:12" ht="12.75">
      <c r="A45" s="400">
        <v>2065</v>
      </c>
      <c r="B45" s="402" t="s">
        <v>530</v>
      </c>
      <c r="C45" s="402"/>
      <c r="D45" s="402">
        <v>209</v>
      </c>
      <c r="E45" s="402">
        <v>6</v>
      </c>
      <c r="F45" s="402">
        <f t="shared" si="0"/>
        <v>4</v>
      </c>
      <c r="G45" s="402">
        <f t="shared" si="1"/>
        <v>2</v>
      </c>
      <c r="H45" s="403">
        <f t="shared" si="2"/>
        <v>12000</v>
      </c>
      <c r="L45" s="393"/>
    </row>
    <row r="46" spans="1:12" ht="12.75">
      <c r="A46" s="400">
        <v>2069</v>
      </c>
      <c r="B46" s="402" t="s">
        <v>531</v>
      </c>
      <c r="C46" s="402"/>
      <c r="D46" s="402">
        <v>324</v>
      </c>
      <c r="E46" s="402">
        <v>1</v>
      </c>
      <c r="F46" s="402">
        <f t="shared" si="0"/>
        <v>6</v>
      </c>
      <c r="G46" s="402">
        <f t="shared" si="1"/>
        <v>-5</v>
      </c>
      <c r="H46" s="403">
        <f t="shared" si="2"/>
        <v>0</v>
      </c>
      <c r="L46" s="393"/>
    </row>
    <row r="47" spans="1:12" ht="12.75">
      <c r="A47" s="400">
        <v>2074</v>
      </c>
      <c r="B47" s="402" t="s">
        <v>532</v>
      </c>
      <c r="C47" s="402"/>
      <c r="D47" s="402">
        <v>269</v>
      </c>
      <c r="E47" s="402">
        <v>4</v>
      </c>
      <c r="F47" s="402">
        <f t="shared" si="0"/>
        <v>5</v>
      </c>
      <c r="G47" s="402">
        <f t="shared" si="1"/>
        <v>-1</v>
      </c>
      <c r="H47" s="403">
        <f t="shared" si="2"/>
        <v>0</v>
      </c>
      <c r="L47" s="393"/>
    </row>
    <row r="48" spans="1:12" ht="12.75">
      <c r="A48" s="400">
        <v>2076</v>
      </c>
      <c r="B48" s="402" t="s">
        <v>533</v>
      </c>
      <c r="C48" s="402"/>
      <c r="D48" s="402">
        <v>407</v>
      </c>
      <c r="E48" s="402">
        <v>8</v>
      </c>
      <c r="F48" s="402">
        <f t="shared" si="0"/>
        <v>8</v>
      </c>
      <c r="G48" s="402">
        <f t="shared" si="1"/>
        <v>0</v>
      </c>
      <c r="H48" s="403">
        <f t="shared" si="2"/>
        <v>0</v>
      </c>
      <c r="I48" s="393"/>
      <c r="L48" s="393"/>
    </row>
    <row r="49" spans="1:12" ht="12.75">
      <c r="A49" s="400">
        <v>2078</v>
      </c>
      <c r="B49" s="402" t="s">
        <v>534</v>
      </c>
      <c r="C49" s="402"/>
      <c r="D49" s="402">
        <v>841</v>
      </c>
      <c r="E49" s="402">
        <v>14</v>
      </c>
      <c r="F49" s="402">
        <f t="shared" si="0"/>
        <v>17</v>
      </c>
      <c r="G49" s="402">
        <f t="shared" si="1"/>
        <v>-3</v>
      </c>
      <c r="H49" s="403">
        <f t="shared" si="2"/>
        <v>0</v>
      </c>
      <c r="I49" s="394"/>
      <c r="L49" s="393"/>
    </row>
    <row r="50" spans="1:12" ht="12.75">
      <c r="A50" s="400">
        <v>2080</v>
      </c>
      <c r="B50" s="402" t="s">
        <v>535</v>
      </c>
      <c r="C50" s="402"/>
      <c r="D50" s="402">
        <v>409</v>
      </c>
      <c r="E50" s="402">
        <v>4</v>
      </c>
      <c r="F50" s="402">
        <f t="shared" si="0"/>
        <v>8</v>
      </c>
      <c r="G50" s="402">
        <f t="shared" si="1"/>
        <v>-4</v>
      </c>
      <c r="H50" s="403">
        <f t="shared" si="2"/>
        <v>0</v>
      </c>
      <c r="L50" s="393"/>
    </row>
    <row r="51" spans="1:12" ht="12.75">
      <c r="A51" s="400">
        <v>2081</v>
      </c>
      <c r="B51" s="402" t="s">
        <v>536</v>
      </c>
      <c r="C51" s="402"/>
      <c r="D51" s="402">
        <v>619</v>
      </c>
      <c r="E51" s="402">
        <v>13</v>
      </c>
      <c r="F51" s="402">
        <f t="shared" si="0"/>
        <v>12</v>
      </c>
      <c r="G51" s="402">
        <f t="shared" si="1"/>
        <v>1</v>
      </c>
      <c r="H51" s="403">
        <f t="shared" si="2"/>
        <v>6000</v>
      </c>
      <c r="L51" s="393"/>
    </row>
    <row r="52" spans="1:12" ht="12.75">
      <c r="A52" s="400">
        <v>2082</v>
      </c>
      <c r="B52" s="404" t="s">
        <v>467</v>
      </c>
      <c r="C52" s="402"/>
      <c r="D52" s="402">
        <v>921</v>
      </c>
      <c r="E52" s="402">
        <v>15</v>
      </c>
      <c r="F52" s="402">
        <f t="shared" si="0"/>
        <v>18</v>
      </c>
      <c r="G52" s="402">
        <f t="shared" si="1"/>
        <v>-3</v>
      </c>
      <c r="H52" s="403">
        <f t="shared" si="2"/>
        <v>0</v>
      </c>
      <c r="L52" s="393"/>
    </row>
    <row r="53" spans="1:12" ht="12.75">
      <c r="A53" s="400">
        <v>2084</v>
      </c>
      <c r="B53" s="406" t="s">
        <v>537</v>
      </c>
      <c r="C53" s="402"/>
      <c r="D53" s="402">
        <v>604</v>
      </c>
      <c r="E53" s="402">
        <v>12</v>
      </c>
      <c r="F53" s="402">
        <f t="shared" si="0"/>
        <v>12</v>
      </c>
      <c r="G53" s="402">
        <f t="shared" si="1"/>
        <v>0</v>
      </c>
      <c r="H53" s="403">
        <f t="shared" si="2"/>
        <v>0</v>
      </c>
      <c r="L53" s="393"/>
    </row>
    <row r="54" spans="1:12" ht="12.75">
      <c r="A54" s="400">
        <v>3300</v>
      </c>
      <c r="B54" s="402" t="s">
        <v>538</v>
      </c>
      <c r="C54" s="402"/>
      <c r="D54" s="402">
        <v>335</v>
      </c>
      <c r="E54" s="402">
        <v>12</v>
      </c>
      <c r="F54" s="402">
        <f t="shared" si="0"/>
        <v>7</v>
      </c>
      <c r="G54" s="402">
        <f t="shared" si="1"/>
        <v>5</v>
      </c>
      <c r="H54" s="403">
        <f t="shared" si="2"/>
        <v>30000</v>
      </c>
      <c r="L54" s="393"/>
    </row>
    <row r="55" spans="1:12" ht="12.75">
      <c r="A55" s="400">
        <v>3302</v>
      </c>
      <c r="B55" s="404" t="s">
        <v>539</v>
      </c>
      <c r="C55" s="402"/>
      <c r="D55" s="402">
        <v>203</v>
      </c>
      <c r="E55" s="402">
        <v>5</v>
      </c>
      <c r="F55" s="402">
        <f t="shared" si="0"/>
        <v>4</v>
      </c>
      <c r="G55" s="402">
        <f t="shared" si="1"/>
        <v>1</v>
      </c>
      <c r="H55" s="403">
        <f t="shared" si="2"/>
        <v>6000</v>
      </c>
      <c r="L55" s="393"/>
    </row>
    <row r="56" spans="1:12" ht="12.75">
      <c r="A56" s="400">
        <v>3306</v>
      </c>
      <c r="B56" s="402" t="s">
        <v>540</v>
      </c>
      <c r="C56" s="402"/>
      <c r="D56" s="402">
        <v>415</v>
      </c>
      <c r="E56" s="402">
        <v>6</v>
      </c>
      <c r="F56" s="402">
        <f t="shared" si="0"/>
        <v>8</v>
      </c>
      <c r="G56" s="402">
        <f t="shared" si="1"/>
        <v>-2</v>
      </c>
      <c r="H56" s="403">
        <f t="shared" si="2"/>
        <v>0</v>
      </c>
      <c r="L56" s="393"/>
    </row>
    <row r="57" spans="1:12" ht="12.75">
      <c r="A57" s="400">
        <v>3307</v>
      </c>
      <c r="B57" s="402" t="s">
        <v>541</v>
      </c>
      <c r="C57" s="402"/>
      <c r="D57" s="402">
        <v>409</v>
      </c>
      <c r="E57" s="402">
        <v>11</v>
      </c>
      <c r="F57" s="402">
        <f t="shared" si="0"/>
        <v>8</v>
      </c>
      <c r="G57" s="402">
        <f t="shared" si="1"/>
        <v>3</v>
      </c>
      <c r="H57" s="403">
        <f t="shared" si="2"/>
        <v>18000</v>
      </c>
      <c r="L57" s="393"/>
    </row>
    <row r="58" spans="1:12" ht="12.75">
      <c r="A58" s="400">
        <v>3400</v>
      </c>
      <c r="B58" s="402" t="s">
        <v>542</v>
      </c>
      <c r="C58" s="402"/>
      <c r="D58" s="402">
        <v>206</v>
      </c>
      <c r="E58" s="402">
        <v>1</v>
      </c>
      <c r="F58" s="402">
        <f t="shared" si="0"/>
        <v>4</v>
      </c>
      <c r="G58" s="402">
        <f t="shared" si="1"/>
        <v>-3</v>
      </c>
      <c r="H58" s="403">
        <f t="shared" si="2"/>
        <v>0</v>
      </c>
      <c r="L58" s="393"/>
    </row>
    <row r="59" spans="1:12" ht="12.75">
      <c r="A59" s="400">
        <v>3401</v>
      </c>
      <c r="B59" s="404" t="s">
        <v>543</v>
      </c>
      <c r="C59" s="402"/>
      <c r="D59" s="402">
        <v>625</v>
      </c>
      <c r="E59" s="402">
        <v>11</v>
      </c>
      <c r="F59" s="402">
        <f t="shared" si="0"/>
        <v>13</v>
      </c>
      <c r="G59" s="402">
        <f t="shared" si="1"/>
        <v>-2</v>
      </c>
      <c r="H59" s="403">
        <f t="shared" si="2"/>
        <v>0</v>
      </c>
      <c r="L59" s="393"/>
    </row>
    <row r="60" spans="1:12" ht="12.75">
      <c r="A60" s="400">
        <v>3402</v>
      </c>
      <c r="B60" s="402" t="s">
        <v>544</v>
      </c>
      <c r="C60" s="402"/>
      <c r="D60" s="402">
        <v>409</v>
      </c>
      <c r="E60" s="402">
        <v>2</v>
      </c>
      <c r="F60" s="402">
        <f t="shared" si="0"/>
        <v>8</v>
      </c>
      <c r="G60" s="402">
        <f t="shared" si="1"/>
        <v>-6</v>
      </c>
      <c r="H60" s="403">
        <f t="shared" si="2"/>
        <v>0</v>
      </c>
      <c r="L60" s="393"/>
    </row>
    <row r="61" spans="1:12" ht="12.75">
      <c r="A61" s="400">
        <v>3403</v>
      </c>
      <c r="B61" s="402" t="s">
        <v>545</v>
      </c>
      <c r="C61" s="402"/>
      <c r="D61" s="402">
        <v>206</v>
      </c>
      <c r="E61" s="402">
        <v>3</v>
      </c>
      <c r="F61" s="402">
        <f t="shared" si="0"/>
        <v>4</v>
      </c>
      <c r="G61" s="402">
        <f t="shared" si="1"/>
        <v>-1</v>
      </c>
      <c r="H61" s="403">
        <f t="shared" si="2"/>
        <v>0</v>
      </c>
      <c r="L61" s="393"/>
    </row>
    <row r="62" spans="1:12" ht="12.75">
      <c r="A62" s="400">
        <v>3404</v>
      </c>
      <c r="B62" s="401" t="s">
        <v>546</v>
      </c>
      <c r="C62" s="402"/>
      <c r="D62" s="402">
        <v>210</v>
      </c>
      <c r="E62" s="402">
        <v>5</v>
      </c>
      <c r="F62" s="402">
        <f t="shared" si="0"/>
        <v>4</v>
      </c>
      <c r="G62" s="402">
        <f t="shared" si="1"/>
        <v>1</v>
      </c>
      <c r="H62" s="403">
        <f t="shared" si="2"/>
        <v>6000</v>
      </c>
      <c r="L62" s="393"/>
    </row>
    <row r="63" spans="1:12" ht="12.75">
      <c r="A63" s="400">
        <v>3405</v>
      </c>
      <c r="B63" s="402" t="s">
        <v>547</v>
      </c>
      <c r="C63" s="402"/>
      <c r="D63" s="402">
        <v>622</v>
      </c>
      <c r="E63" s="402">
        <v>10</v>
      </c>
      <c r="F63" s="402">
        <f t="shared" si="0"/>
        <v>12</v>
      </c>
      <c r="G63" s="402">
        <f t="shared" si="1"/>
        <v>-2</v>
      </c>
      <c r="H63" s="403">
        <f t="shared" si="2"/>
        <v>0</v>
      </c>
      <c r="L63" s="393"/>
    </row>
    <row r="64" spans="1:12" ht="12.75">
      <c r="A64" s="400">
        <v>3410</v>
      </c>
      <c r="B64" s="402" t="s">
        <v>548</v>
      </c>
      <c r="C64" s="402"/>
      <c r="D64" s="402">
        <v>415</v>
      </c>
      <c r="E64" s="402">
        <v>6</v>
      </c>
      <c r="F64" s="402">
        <f t="shared" si="0"/>
        <v>8</v>
      </c>
      <c r="G64" s="402">
        <f t="shared" si="1"/>
        <v>-2</v>
      </c>
      <c r="H64" s="403">
        <f t="shared" si="2"/>
        <v>0</v>
      </c>
      <c r="L64" s="393"/>
    </row>
    <row r="65" spans="1:12" ht="12.75">
      <c r="A65" s="400">
        <v>4000</v>
      </c>
      <c r="B65" s="406" t="s">
        <v>139</v>
      </c>
      <c r="C65" s="402"/>
      <c r="D65" s="402">
        <v>41</v>
      </c>
      <c r="E65" s="402">
        <v>1</v>
      </c>
      <c r="F65" s="402">
        <f t="shared" si="0"/>
        <v>1</v>
      </c>
      <c r="G65" s="402">
        <f t="shared" si="1"/>
        <v>0</v>
      </c>
      <c r="H65" s="403">
        <f t="shared" si="2"/>
        <v>0</v>
      </c>
      <c r="L65" s="393"/>
    </row>
    <row r="66" spans="1:12" ht="12.75">
      <c r="A66" s="400">
        <v>4002</v>
      </c>
      <c r="B66" s="404" t="s">
        <v>143</v>
      </c>
      <c r="C66" s="402"/>
      <c r="D66" s="402">
        <v>54</v>
      </c>
      <c r="E66" s="402">
        <v>1</v>
      </c>
      <c r="F66" s="402">
        <f t="shared" si="0"/>
        <v>1</v>
      </c>
      <c r="G66" s="402">
        <f t="shared" si="1"/>
        <v>0</v>
      </c>
      <c r="H66" s="403">
        <f t="shared" si="2"/>
        <v>0</v>
      </c>
      <c r="L66" s="393"/>
    </row>
    <row r="67" spans="1:12" ht="12.75">
      <c r="A67" s="400">
        <v>4009</v>
      </c>
      <c r="B67" s="402" t="s">
        <v>491</v>
      </c>
      <c r="C67" s="402"/>
      <c r="D67" s="402">
        <v>50</v>
      </c>
      <c r="E67" s="402">
        <v>0</v>
      </c>
      <c r="F67" s="402">
        <f t="shared" si="0"/>
        <v>1</v>
      </c>
      <c r="G67" s="402">
        <f t="shared" si="1"/>
        <v>-1</v>
      </c>
      <c r="H67" s="403">
        <f t="shared" si="2"/>
        <v>0</v>
      </c>
      <c r="L67" s="393"/>
    </row>
    <row r="68" spans="1:12" ht="12.75">
      <c r="A68" s="400">
        <v>4014</v>
      </c>
      <c r="B68" s="402" t="s">
        <v>205</v>
      </c>
      <c r="C68" s="402"/>
      <c r="D68" s="402">
        <v>183</v>
      </c>
      <c r="E68" s="402">
        <v>2</v>
      </c>
      <c r="F68" s="402">
        <f t="shared" si="0"/>
        <v>4</v>
      </c>
      <c r="G68" s="402">
        <f t="shared" si="1"/>
        <v>-2</v>
      </c>
      <c r="H68" s="403">
        <f t="shared" si="2"/>
        <v>0</v>
      </c>
      <c r="L68" s="393"/>
    </row>
    <row r="69" spans="1:12" ht="12.75">
      <c r="A69" s="400">
        <v>4021</v>
      </c>
      <c r="B69" s="404" t="s">
        <v>492</v>
      </c>
      <c r="C69" s="402"/>
      <c r="D69" s="402">
        <v>700</v>
      </c>
      <c r="E69" s="402">
        <v>11</v>
      </c>
      <c r="F69" s="402">
        <f t="shared" si="0"/>
        <v>14</v>
      </c>
      <c r="G69" s="402">
        <f t="shared" si="1"/>
        <v>-3</v>
      </c>
      <c r="H69" s="403">
        <f t="shared" si="2"/>
        <v>0</v>
      </c>
      <c r="L69" s="393"/>
    </row>
    <row r="70" spans="1:8" ht="12.75">
      <c r="A70" s="400">
        <v>4023</v>
      </c>
      <c r="B70" s="404" t="s">
        <v>549</v>
      </c>
      <c r="C70" s="402"/>
      <c r="D70" s="402">
        <v>903</v>
      </c>
      <c r="E70" s="402">
        <v>15</v>
      </c>
      <c r="F70" s="402">
        <f aca="true" t="shared" si="3" ref="F70:F94">ROUND(D70*0.02,0)</f>
        <v>18</v>
      </c>
      <c r="G70" s="402">
        <f aca="true" t="shared" si="4" ref="G70:G94">E70-F70</f>
        <v>-3</v>
      </c>
      <c r="H70" s="403">
        <f aca="true" t="shared" si="5" ref="H70:H94">IF(G70&gt;0,G70*6000,0)</f>
        <v>0</v>
      </c>
    </row>
    <row r="71" spans="1:8" ht="12.75">
      <c r="A71" s="400">
        <v>4600</v>
      </c>
      <c r="B71" s="402" t="s">
        <v>550</v>
      </c>
      <c r="C71" s="402"/>
      <c r="D71" s="402">
        <v>946</v>
      </c>
      <c r="E71" s="402">
        <v>22</v>
      </c>
      <c r="F71" s="402">
        <f t="shared" si="3"/>
        <v>19</v>
      </c>
      <c r="G71" s="402">
        <f t="shared" si="4"/>
        <v>3</v>
      </c>
      <c r="H71" s="403">
        <f t="shared" si="5"/>
        <v>18000</v>
      </c>
    </row>
    <row r="72" spans="1:8" ht="12.75">
      <c r="A72" s="400">
        <v>4654</v>
      </c>
      <c r="B72" s="402" t="s">
        <v>551</v>
      </c>
      <c r="C72" s="402"/>
      <c r="D72" s="402">
        <v>1369</v>
      </c>
      <c r="E72" s="402">
        <v>18</v>
      </c>
      <c r="F72" s="402">
        <f t="shared" si="3"/>
        <v>27</v>
      </c>
      <c r="G72" s="402">
        <f t="shared" si="4"/>
        <v>-9</v>
      </c>
      <c r="H72" s="403">
        <f t="shared" si="5"/>
        <v>0</v>
      </c>
    </row>
    <row r="73" spans="1:8" ht="12.75">
      <c r="A73" s="400">
        <v>5200</v>
      </c>
      <c r="B73" s="402" t="s">
        <v>552</v>
      </c>
      <c r="C73" s="402"/>
      <c r="D73" s="402">
        <v>265</v>
      </c>
      <c r="E73" s="402">
        <v>7</v>
      </c>
      <c r="F73" s="402">
        <f t="shared" si="3"/>
        <v>5</v>
      </c>
      <c r="G73" s="402">
        <f t="shared" si="4"/>
        <v>2</v>
      </c>
      <c r="H73" s="403">
        <f t="shared" si="5"/>
        <v>12000</v>
      </c>
    </row>
    <row r="74" spans="1:8" ht="12.75">
      <c r="A74" s="400">
        <v>5201</v>
      </c>
      <c r="B74" s="402" t="s">
        <v>553</v>
      </c>
      <c r="C74" s="402"/>
      <c r="D74" s="402">
        <v>357</v>
      </c>
      <c r="E74" s="402">
        <v>8</v>
      </c>
      <c r="F74" s="402">
        <f t="shared" si="3"/>
        <v>7</v>
      </c>
      <c r="G74" s="402">
        <f t="shared" si="4"/>
        <v>1</v>
      </c>
      <c r="H74" s="403">
        <f t="shared" si="5"/>
        <v>6000</v>
      </c>
    </row>
    <row r="75" spans="1:8" ht="12.75">
      <c r="A75" s="400">
        <v>5202</v>
      </c>
      <c r="B75" s="402" t="s">
        <v>554</v>
      </c>
      <c r="C75" s="402"/>
      <c r="D75" s="402">
        <v>385</v>
      </c>
      <c r="E75" s="402">
        <v>6</v>
      </c>
      <c r="F75" s="402">
        <f t="shared" si="3"/>
        <v>8</v>
      </c>
      <c r="G75" s="402">
        <f t="shared" si="4"/>
        <v>-2</v>
      </c>
      <c r="H75" s="403">
        <f t="shared" si="5"/>
        <v>0</v>
      </c>
    </row>
    <row r="76" spans="1:8" ht="12.75">
      <c r="A76" s="400">
        <v>5203</v>
      </c>
      <c r="B76" s="404" t="s">
        <v>555</v>
      </c>
      <c r="C76" s="402"/>
      <c r="D76" s="402">
        <v>320</v>
      </c>
      <c r="E76" s="402">
        <v>6</v>
      </c>
      <c r="F76" s="402">
        <f t="shared" si="3"/>
        <v>6</v>
      </c>
      <c r="G76" s="402">
        <f t="shared" si="4"/>
        <v>0</v>
      </c>
      <c r="H76" s="403">
        <f t="shared" si="5"/>
        <v>0</v>
      </c>
    </row>
    <row r="77" spans="1:8" ht="12.75">
      <c r="A77" s="400">
        <v>5204</v>
      </c>
      <c r="B77" s="404" t="s">
        <v>556</v>
      </c>
      <c r="C77" s="402"/>
      <c r="D77" s="402">
        <v>162</v>
      </c>
      <c r="E77" s="402">
        <v>4</v>
      </c>
      <c r="F77" s="402">
        <f t="shared" si="3"/>
        <v>3</v>
      </c>
      <c r="G77" s="402">
        <f t="shared" si="4"/>
        <v>1</v>
      </c>
      <c r="H77" s="403">
        <f t="shared" si="5"/>
        <v>6000</v>
      </c>
    </row>
    <row r="78" spans="1:8" ht="12.75">
      <c r="A78" s="400">
        <v>5205</v>
      </c>
      <c r="B78" s="402" t="s">
        <v>557</v>
      </c>
      <c r="C78" s="402"/>
      <c r="D78" s="402">
        <v>235</v>
      </c>
      <c r="E78" s="402">
        <v>6</v>
      </c>
      <c r="F78" s="402">
        <f t="shared" si="3"/>
        <v>5</v>
      </c>
      <c r="G78" s="402">
        <f t="shared" si="4"/>
        <v>1</v>
      </c>
      <c r="H78" s="403">
        <f t="shared" si="5"/>
        <v>6000</v>
      </c>
    </row>
    <row r="79" spans="1:8" ht="12.75">
      <c r="A79" s="400">
        <v>5206</v>
      </c>
      <c r="B79" s="402" t="s">
        <v>558</v>
      </c>
      <c r="C79" s="402"/>
      <c r="D79" s="402">
        <v>523</v>
      </c>
      <c r="E79" s="402">
        <v>15</v>
      </c>
      <c r="F79" s="402">
        <f t="shared" si="3"/>
        <v>10</v>
      </c>
      <c r="G79" s="402">
        <f t="shared" si="4"/>
        <v>5</v>
      </c>
      <c r="H79" s="403">
        <f t="shared" si="5"/>
        <v>30000</v>
      </c>
    </row>
    <row r="80" spans="1:8" ht="12.75">
      <c r="A80" s="400">
        <v>5208</v>
      </c>
      <c r="B80" s="404" t="s">
        <v>559</v>
      </c>
      <c r="C80" s="402"/>
      <c r="D80" s="402">
        <v>200</v>
      </c>
      <c r="E80" s="402">
        <v>4</v>
      </c>
      <c r="F80" s="402">
        <f t="shared" si="3"/>
        <v>4</v>
      </c>
      <c r="G80" s="402">
        <f t="shared" si="4"/>
        <v>0</v>
      </c>
      <c r="H80" s="403">
        <f t="shared" si="5"/>
        <v>0</v>
      </c>
    </row>
    <row r="81" spans="1:8" ht="12.75">
      <c r="A81" s="400">
        <v>5211</v>
      </c>
      <c r="B81" s="402" t="s">
        <v>43</v>
      </c>
      <c r="C81" s="402"/>
      <c r="D81" s="402">
        <v>613</v>
      </c>
      <c r="E81" s="402">
        <v>12</v>
      </c>
      <c r="F81" s="402">
        <f t="shared" si="3"/>
        <v>12</v>
      </c>
      <c r="G81" s="402">
        <f t="shared" si="4"/>
        <v>0</v>
      </c>
      <c r="H81" s="403">
        <f t="shared" si="5"/>
        <v>0</v>
      </c>
    </row>
    <row r="82" spans="1:8" ht="12.75">
      <c r="A82" s="400">
        <v>5400</v>
      </c>
      <c r="B82" s="402" t="s">
        <v>560</v>
      </c>
      <c r="C82" s="402"/>
      <c r="D82" s="402">
        <v>930</v>
      </c>
      <c r="E82" s="402">
        <v>34</v>
      </c>
      <c r="F82" s="402">
        <f t="shared" si="3"/>
        <v>19</v>
      </c>
      <c r="G82" s="402">
        <f t="shared" si="4"/>
        <v>15</v>
      </c>
      <c r="H82" s="403">
        <f t="shared" si="5"/>
        <v>90000</v>
      </c>
    </row>
    <row r="83" spans="1:8" ht="12.75">
      <c r="A83" s="400">
        <v>5401</v>
      </c>
      <c r="B83" s="404" t="s">
        <v>561</v>
      </c>
      <c r="C83" s="402"/>
      <c r="D83" s="402">
        <v>1432</v>
      </c>
      <c r="E83" s="402">
        <v>17</v>
      </c>
      <c r="F83" s="402">
        <f t="shared" si="3"/>
        <v>29</v>
      </c>
      <c r="G83" s="402">
        <f t="shared" si="4"/>
        <v>-12</v>
      </c>
      <c r="H83" s="403">
        <f t="shared" si="5"/>
        <v>0</v>
      </c>
    </row>
    <row r="84" spans="1:8" ht="12.75">
      <c r="A84" s="400">
        <v>5402</v>
      </c>
      <c r="B84" s="402" t="s">
        <v>562</v>
      </c>
      <c r="C84" s="402"/>
      <c r="D84" s="402">
        <v>903</v>
      </c>
      <c r="E84" s="402">
        <v>21</v>
      </c>
      <c r="F84" s="402">
        <f t="shared" si="3"/>
        <v>18</v>
      </c>
      <c r="G84" s="402">
        <f t="shared" si="4"/>
        <v>3</v>
      </c>
      <c r="H84" s="403">
        <f t="shared" si="5"/>
        <v>18000</v>
      </c>
    </row>
    <row r="85" spans="1:8" ht="12.75">
      <c r="A85" s="400">
        <v>5403</v>
      </c>
      <c r="B85" s="402" t="s">
        <v>563</v>
      </c>
      <c r="C85" s="402"/>
      <c r="D85" s="402">
        <v>1195</v>
      </c>
      <c r="E85" s="402">
        <v>20</v>
      </c>
      <c r="F85" s="402">
        <f t="shared" si="3"/>
        <v>24</v>
      </c>
      <c r="G85" s="402">
        <f t="shared" si="4"/>
        <v>-4</v>
      </c>
      <c r="H85" s="403">
        <f t="shared" si="5"/>
        <v>0</v>
      </c>
    </row>
    <row r="86" spans="1:8" ht="12.75">
      <c r="A86" s="400">
        <v>5404</v>
      </c>
      <c r="B86" s="402" t="s">
        <v>564</v>
      </c>
      <c r="C86" s="402"/>
      <c r="D86" s="402">
        <v>1055</v>
      </c>
      <c r="E86" s="402">
        <v>16</v>
      </c>
      <c r="F86" s="402">
        <f t="shared" si="3"/>
        <v>21</v>
      </c>
      <c r="G86" s="402">
        <f t="shared" si="4"/>
        <v>-5</v>
      </c>
      <c r="H86" s="403">
        <f t="shared" si="5"/>
        <v>0</v>
      </c>
    </row>
    <row r="87" spans="1:8" ht="12.75">
      <c r="A87" s="400">
        <v>5405</v>
      </c>
      <c r="B87" s="402" t="s">
        <v>565</v>
      </c>
      <c r="C87" s="402"/>
      <c r="D87" s="402">
        <v>664</v>
      </c>
      <c r="E87" s="402">
        <v>4</v>
      </c>
      <c r="F87" s="402">
        <f t="shared" si="3"/>
        <v>13</v>
      </c>
      <c r="G87" s="402">
        <f t="shared" si="4"/>
        <v>-9</v>
      </c>
      <c r="H87" s="403">
        <f t="shared" si="5"/>
        <v>0</v>
      </c>
    </row>
    <row r="88" spans="1:8" ht="12.75">
      <c r="A88" s="400">
        <v>5406</v>
      </c>
      <c r="B88" s="402" t="s">
        <v>50</v>
      </c>
      <c r="C88" s="402"/>
      <c r="D88" s="402">
        <v>621</v>
      </c>
      <c r="E88" s="402">
        <v>9</v>
      </c>
      <c r="F88" s="402">
        <f t="shared" si="3"/>
        <v>12</v>
      </c>
      <c r="G88" s="402">
        <f t="shared" si="4"/>
        <v>-3</v>
      </c>
      <c r="H88" s="403">
        <f t="shared" si="5"/>
        <v>0</v>
      </c>
    </row>
    <row r="89" spans="1:8" ht="12.75">
      <c r="A89" s="400">
        <v>5407</v>
      </c>
      <c r="B89" s="402" t="s">
        <v>51</v>
      </c>
      <c r="C89" s="402"/>
      <c r="D89" s="402">
        <v>337</v>
      </c>
      <c r="E89" s="402">
        <v>6</v>
      </c>
      <c r="F89" s="402">
        <f t="shared" si="3"/>
        <v>7</v>
      </c>
      <c r="G89" s="402">
        <f t="shared" si="4"/>
        <v>-1</v>
      </c>
      <c r="H89" s="403">
        <f t="shared" si="5"/>
        <v>0</v>
      </c>
    </row>
    <row r="90" spans="1:8" ht="12.75">
      <c r="A90" s="400">
        <v>5408</v>
      </c>
      <c r="B90" s="402" t="s">
        <v>566</v>
      </c>
      <c r="C90" s="402"/>
      <c r="D90" s="402">
        <v>1148</v>
      </c>
      <c r="E90" s="402">
        <v>10</v>
      </c>
      <c r="F90" s="402">
        <f t="shared" si="3"/>
        <v>23</v>
      </c>
      <c r="G90" s="402">
        <f t="shared" si="4"/>
        <v>-13</v>
      </c>
      <c r="H90" s="403">
        <f t="shared" si="5"/>
        <v>0</v>
      </c>
    </row>
    <row r="91" spans="1:8" ht="12.75">
      <c r="A91" s="400">
        <v>5409</v>
      </c>
      <c r="B91" s="404" t="s">
        <v>567</v>
      </c>
      <c r="C91" s="402"/>
      <c r="D91" s="402">
        <v>493</v>
      </c>
      <c r="E91" s="402">
        <v>9</v>
      </c>
      <c r="F91" s="402">
        <f t="shared" si="3"/>
        <v>10</v>
      </c>
      <c r="G91" s="402">
        <f t="shared" si="4"/>
        <v>-1</v>
      </c>
      <c r="H91" s="403">
        <f t="shared" si="5"/>
        <v>0</v>
      </c>
    </row>
    <row r="92" spans="1:8" ht="12.75">
      <c r="A92" s="400">
        <v>5410</v>
      </c>
      <c r="B92" s="402" t="s">
        <v>568</v>
      </c>
      <c r="C92" s="402"/>
      <c r="D92" s="402">
        <v>879</v>
      </c>
      <c r="E92" s="402">
        <v>15</v>
      </c>
      <c r="F92" s="402">
        <f t="shared" si="3"/>
        <v>18</v>
      </c>
      <c r="G92" s="402">
        <f t="shared" si="4"/>
        <v>-3</v>
      </c>
      <c r="H92" s="403">
        <f t="shared" si="5"/>
        <v>0</v>
      </c>
    </row>
    <row r="93" spans="1:8" ht="12.75">
      <c r="A93" s="400">
        <v>5411</v>
      </c>
      <c r="B93" s="402" t="s">
        <v>569</v>
      </c>
      <c r="C93" s="402"/>
      <c r="D93" s="402">
        <v>965</v>
      </c>
      <c r="E93" s="402">
        <v>12</v>
      </c>
      <c r="F93" s="402">
        <f t="shared" si="3"/>
        <v>19</v>
      </c>
      <c r="G93" s="402">
        <f t="shared" si="4"/>
        <v>-7</v>
      </c>
      <c r="H93" s="403">
        <f t="shared" si="5"/>
        <v>0</v>
      </c>
    </row>
    <row r="94" spans="1:8" ht="12.75">
      <c r="A94" s="400">
        <v>5412</v>
      </c>
      <c r="B94" s="402" t="s">
        <v>570</v>
      </c>
      <c r="C94" s="402"/>
      <c r="D94" s="402">
        <v>1178</v>
      </c>
      <c r="E94" s="402">
        <v>11</v>
      </c>
      <c r="F94" s="402">
        <f t="shared" si="3"/>
        <v>24</v>
      </c>
      <c r="G94" s="402">
        <f t="shared" si="4"/>
        <v>-13</v>
      </c>
      <c r="H94" s="403">
        <f t="shared" si="5"/>
        <v>0</v>
      </c>
    </row>
    <row r="95" spans="1:8" ht="12.75">
      <c r="A95" s="402">
        <v>6906</v>
      </c>
      <c r="B95" s="402" t="s">
        <v>571</v>
      </c>
      <c r="C95" s="402"/>
      <c r="D95" s="402">
        <v>491</v>
      </c>
      <c r="E95" s="402">
        <v>13</v>
      </c>
      <c r="F95" s="402">
        <f>ROUND(D95*0.02,0)</f>
        <v>10</v>
      </c>
      <c r="G95" s="402">
        <f>E95-F95</f>
        <v>3</v>
      </c>
      <c r="H95" s="403">
        <f>IF(G95&gt;0,G95*6000,0)</f>
        <v>18000</v>
      </c>
    </row>
  </sheetData>
  <sheetProtection/>
  <protectedRanges>
    <protectedRange password="E290" sqref="D5:E94" name="Range1"/>
  </protectedRanges>
  <mergeCells count="1">
    <mergeCell ref="D3:H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AB236"/>
  <sheetViews>
    <sheetView zoomScale="85" zoomScaleNormal="85" zoomScalePageLayoutView="0" workbookViewId="0" topLeftCell="A1">
      <pane xSplit="3" ySplit="8" topLeftCell="J169" activePane="bottomRight" state="frozen"/>
      <selection pane="topLeft" activeCell="CD5" sqref="CD5:CD55"/>
      <selection pane="topRight" activeCell="CD5" sqref="CD5:CD55"/>
      <selection pane="bottomLeft" activeCell="CD5" sqref="CD5:CD55"/>
      <selection pane="bottomRight" activeCell="CD5" sqref="CD5:CD55"/>
    </sheetView>
  </sheetViews>
  <sheetFormatPr defaultColWidth="9.140625" defaultRowHeight="12.75"/>
  <cols>
    <col min="1" max="1" width="9.140625" style="10" customWidth="1"/>
    <col min="2" max="2" width="76.8515625" style="10" bestFit="1" customWidth="1"/>
    <col min="3" max="3" width="7.57421875" style="10" bestFit="1" customWidth="1"/>
    <col min="4" max="4" width="0.9921875" style="10" customWidth="1"/>
    <col min="5" max="6" width="16.8515625" style="10" customWidth="1"/>
    <col min="7" max="7" width="16.8515625" style="137" customWidth="1"/>
    <col min="8" max="8" width="10.57421875" style="138" customWidth="1"/>
    <col min="9" max="9" width="2.8515625" style="138" customWidth="1"/>
    <col min="10" max="10" width="10.421875" style="182" customWidth="1"/>
    <col min="11" max="11" width="19.421875" style="10" customWidth="1"/>
    <col min="12" max="12" width="3.140625" style="10" customWidth="1"/>
    <col min="13" max="13" width="14.7109375" style="182" customWidth="1"/>
    <col min="14" max="14" width="12.421875" style="10" customWidth="1"/>
    <col min="15" max="15" width="14.28125" style="10" customWidth="1"/>
    <col min="16" max="16" width="15.28125" style="10" customWidth="1"/>
    <col min="17" max="17" width="2.8515625" style="10" customWidth="1"/>
    <col min="18" max="18" width="12.28125" style="182" customWidth="1"/>
    <col min="19" max="19" width="12.28125" style="133" customWidth="1"/>
    <col min="20" max="20" width="13.00390625" style="10" customWidth="1"/>
    <col min="21" max="21" width="1.8515625" style="10" customWidth="1"/>
    <col min="22" max="22" width="14.421875" style="138" customWidth="1"/>
    <col min="23" max="23" width="12.57421875" style="138" customWidth="1"/>
    <col min="24" max="24" width="2.140625" style="10" customWidth="1"/>
    <col min="25" max="25" width="18.7109375" style="139" customWidth="1"/>
    <col min="26" max="26" width="3.57421875" style="10" customWidth="1"/>
    <col min="27" max="16384" width="9.140625" style="10" customWidth="1"/>
  </cols>
  <sheetData>
    <row r="1" spans="2:13" ht="21">
      <c r="B1" s="136" t="s">
        <v>475</v>
      </c>
      <c r="G1" s="182"/>
      <c r="J1" s="138"/>
      <c r="M1" s="182" t="s">
        <v>259</v>
      </c>
    </row>
    <row r="2" ht="15.75" thickBot="1">
      <c r="J2" s="138"/>
    </row>
    <row r="3" spans="2:19" ht="15.75" thickBot="1">
      <c r="B3" s="140" t="s">
        <v>158</v>
      </c>
      <c r="F3" s="141">
        <v>16691235</v>
      </c>
      <c r="J3" s="138"/>
      <c r="S3" s="10"/>
    </row>
    <row r="4" spans="6:19" ht="15">
      <c r="F4" s="139"/>
      <c r="J4" s="138"/>
      <c r="S4" s="10"/>
    </row>
    <row r="5" spans="2:20" ht="15">
      <c r="B5" s="142"/>
      <c r="C5" s="143"/>
      <c r="E5" s="449" t="s">
        <v>260</v>
      </c>
      <c r="F5" s="450"/>
      <c r="G5" s="450"/>
      <c r="H5" s="451"/>
      <c r="J5" s="452" t="s">
        <v>159</v>
      </c>
      <c r="K5" s="453"/>
      <c r="M5" s="454" t="s">
        <v>160</v>
      </c>
      <c r="N5" s="455"/>
      <c r="O5" s="455"/>
      <c r="P5" s="456"/>
      <c r="R5" s="457" t="s">
        <v>161</v>
      </c>
      <c r="S5" s="458"/>
      <c r="T5" s="459"/>
    </row>
    <row r="6" spans="2:20" ht="15">
      <c r="B6" s="113"/>
      <c r="C6" s="127"/>
      <c r="E6" s="126"/>
      <c r="F6" s="125"/>
      <c r="G6" s="10" t="s">
        <v>162</v>
      </c>
      <c r="H6" s="144"/>
      <c r="J6" s="145"/>
      <c r="K6" s="146">
        <v>0.91</v>
      </c>
      <c r="M6" s="166"/>
      <c r="P6" s="147">
        <v>0.07</v>
      </c>
      <c r="R6" s="283"/>
      <c r="S6" s="148"/>
      <c r="T6" s="146">
        <v>0.02</v>
      </c>
    </row>
    <row r="7" spans="2:20" ht="15" customHeight="1">
      <c r="B7" s="149"/>
      <c r="C7" s="129"/>
      <c r="E7" s="149"/>
      <c r="F7" s="130"/>
      <c r="G7" s="10" t="s">
        <v>163</v>
      </c>
      <c r="H7" s="150"/>
      <c r="J7" s="151"/>
      <c r="K7" s="152">
        <f>F3*K6</f>
        <v>15189023.85</v>
      </c>
      <c r="M7" s="178"/>
      <c r="N7" s="130"/>
      <c r="O7" s="153">
        <f>P7/SUM(N9:N216)</f>
        <v>1.8390921362966193</v>
      </c>
      <c r="P7" s="152">
        <f>(P6*F3)</f>
        <v>1168386.4500000002</v>
      </c>
      <c r="R7" s="178"/>
      <c r="S7" s="154"/>
      <c r="T7" s="152">
        <f>(T6*F3)/SUMIF(R:R,"Y",H:H)</f>
        <v>0.30354460766261576</v>
      </c>
    </row>
    <row r="8" spans="2:25" s="124" customFormat="1" ht="30">
      <c r="B8" s="155" t="s">
        <v>116</v>
      </c>
      <c r="C8" s="156" t="s">
        <v>164</v>
      </c>
      <c r="E8" s="157" t="s">
        <v>165</v>
      </c>
      <c r="F8" s="157" t="s">
        <v>166</v>
      </c>
      <c r="G8" s="284" t="s">
        <v>167</v>
      </c>
      <c r="H8" s="158" t="s">
        <v>168</v>
      </c>
      <c r="I8" s="159"/>
      <c r="J8" s="285" t="s">
        <v>261</v>
      </c>
      <c r="K8" s="157" t="s">
        <v>159</v>
      </c>
      <c r="M8" s="284" t="s">
        <v>169</v>
      </c>
      <c r="N8" s="157" t="s">
        <v>170</v>
      </c>
      <c r="O8" s="157" t="s">
        <v>262</v>
      </c>
      <c r="P8" s="157" t="s">
        <v>263</v>
      </c>
      <c r="R8" s="284" t="s">
        <v>171</v>
      </c>
      <c r="S8" s="286" t="s">
        <v>264</v>
      </c>
      <c r="T8" s="157" t="s">
        <v>265</v>
      </c>
      <c r="V8" s="158" t="s">
        <v>266</v>
      </c>
      <c r="W8" s="158" t="s">
        <v>267</v>
      </c>
      <c r="Y8" s="160" t="s">
        <v>268</v>
      </c>
    </row>
    <row r="9" spans="2:25" ht="15">
      <c r="B9" s="113" t="s">
        <v>269</v>
      </c>
      <c r="C9" s="127" t="s">
        <v>135</v>
      </c>
      <c r="E9" s="219">
        <v>6735</v>
      </c>
      <c r="F9" s="219">
        <v>1560</v>
      </c>
      <c r="G9" s="220">
        <v>3928.5</v>
      </c>
      <c r="H9" s="223">
        <f aca="true" t="shared" si="0" ref="H9:H72">SUM(E9:G9)</f>
        <v>12223.5</v>
      </c>
      <c r="J9" s="163">
        <f aca="true" t="shared" si="1" ref="J9:J72">$K$7/SUM($H$9:$H$216)</f>
        <v>4.915526586568746</v>
      </c>
      <c r="K9" s="23">
        <f>J9*H9</f>
        <v>60084.93923092307</v>
      </c>
      <c r="M9">
        <v>0.10495454545454547</v>
      </c>
      <c r="N9" s="104">
        <f>M9*H9</f>
        <v>1282.9118863636365</v>
      </c>
      <c r="O9" s="21">
        <f>N9*$O$7</f>
        <v>2359.393161772826</v>
      </c>
      <c r="P9" s="21">
        <f aca="true" t="shared" si="2" ref="P9:P72">_xlfn.IFERROR(O9/H9,0)</f>
        <v>0.19302107921404063</v>
      </c>
      <c r="R9" s="287" t="str">
        <f aca="true" t="shared" si="3" ref="R9:R72">IF(M9&gt;0.25,"Y","N")</f>
        <v>N</v>
      </c>
      <c r="S9" s="23">
        <f>IF(R9="Y",$T$7,0)</f>
        <v>0</v>
      </c>
      <c r="T9" s="23">
        <f aca="true" t="shared" si="4" ref="T9:T72">IF(R9="Y",$T$7*H9,0)</f>
        <v>0</v>
      </c>
      <c r="V9" s="164">
        <f aca="true" t="shared" si="5" ref="V9:V72">J9+P9+S9</f>
        <v>5.108547665782787</v>
      </c>
      <c r="W9" s="164">
        <f aca="true" t="shared" si="6" ref="W9:W72">T9+O9+K9</f>
        <v>62444.33239269589</v>
      </c>
      <c r="Y9" s="165"/>
    </row>
    <row r="10" spans="2:25" ht="15">
      <c r="B10" s="113" t="s">
        <v>270</v>
      </c>
      <c r="C10" s="127" t="s">
        <v>135</v>
      </c>
      <c r="E10" s="219">
        <v>0</v>
      </c>
      <c r="F10" s="219">
        <v>195</v>
      </c>
      <c r="G10" s="220">
        <v>180</v>
      </c>
      <c r="H10" s="223">
        <f t="shared" si="0"/>
        <v>375</v>
      </c>
      <c r="J10" s="163">
        <f t="shared" si="1"/>
        <v>4.915526586568746</v>
      </c>
      <c r="K10" s="23">
        <f aca="true" t="shared" si="7" ref="K10:K73">J10*H10</f>
        <v>1843.32246996328</v>
      </c>
      <c r="M10">
        <v>0.11266666666666668</v>
      </c>
      <c r="N10" s="104">
        <f aca="true" t="shared" si="8" ref="N10:N73">M10*H10</f>
        <v>42.25000000000001</v>
      </c>
      <c r="O10" s="21">
        <f aca="true" t="shared" si="9" ref="O10:O73">N10*$O$7</f>
        <v>77.70164275853217</v>
      </c>
      <c r="P10" s="21">
        <f t="shared" si="2"/>
        <v>0.20720438068941913</v>
      </c>
      <c r="R10" s="287" t="str">
        <f t="shared" si="3"/>
        <v>N</v>
      </c>
      <c r="S10" s="23">
        <f aca="true" t="shared" si="10" ref="S10:S73">IF(R10="Y",$T$7,0)</f>
        <v>0</v>
      </c>
      <c r="T10" s="23">
        <f t="shared" si="4"/>
        <v>0</v>
      </c>
      <c r="V10" s="164">
        <f t="shared" si="5"/>
        <v>5.122730967258166</v>
      </c>
      <c r="W10" s="164">
        <f t="shared" si="6"/>
        <v>1921.0241127218121</v>
      </c>
      <c r="Y10" s="165"/>
    </row>
    <row r="11" spans="2:25" ht="15">
      <c r="B11" s="4" t="s">
        <v>271</v>
      </c>
      <c r="C11" s="128" t="s">
        <v>135</v>
      </c>
      <c r="D11" s="93"/>
      <c r="E11" s="219">
        <v>390</v>
      </c>
      <c r="F11" s="219">
        <v>0</v>
      </c>
      <c r="G11" s="220">
        <v>540</v>
      </c>
      <c r="H11" s="288">
        <f t="shared" si="0"/>
        <v>930</v>
      </c>
      <c r="I11" s="171"/>
      <c r="J11" s="163">
        <f t="shared" si="1"/>
        <v>4.915526586568746</v>
      </c>
      <c r="K11" s="135">
        <f t="shared" si="7"/>
        <v>4571.439725508934</v>
      </c>
      <c r="L11" s="93"/>
      <c r="M11" s="4">
        <v>0.20533333333333328</v>
      </c>
      <c r="N11" s="289">
        <f t="shared" si="8"/>
        <v>190.95999999999995</v>
      </c>
      <c r="O11" s="21">
        <f t="shared" si="9"/>
        <v>351.19303434720234</v>
      </c>
      <c r="P11" s="290">
        <f t="shared" si="2"/>
        <v>0.37762691865290576</v>
      </c>
      <c r="Q11" s="93"/>
      <c r="R11" s="291" t="str">
        <f t="shared" si="3"/>
        <v>N</v>
      </c>
      <c r="S11" s="23">
        <f t="shared" si="10"/>
        <v>0</v>
      </c>
      <c r="T11" s="23">
        <f t="shared" si="4"/>
        <v>0</v>
      </c>
      <c r="U11" s="93"/>
      <c r="V11" s="292">
        <f t="shared" si="5"/>
        <v>5.293153505221652</v>
      </c>
      <c r="W11" s="292">
        <f t="shared" si="6"/>
        <v>4922.6327598561365</v>
      </c>
      <c r="X11" s="93"/>
      <c r="Y11" s="293"/>
    </row>
    <row r="12" spans="2:25" ht="15">
      <c r="B12" s="113" t="s">
        <v>272</v>
      </c>
      <c r="C12" s="127" t="s">
        <v>135</v>
      </c>
      <c r="E12" s="219">
        <v>390</v>
      </c>
      <c r="F12" s="219">
        <v>780</v>
      </c>
      <c r="G12" s="220">
        <v>540</v>
      </c>
      <c r="H12" s="223">
        <f t="shared" si="0"/>
        <v>1710</v>
      </c>
      <c r="J12" s="163">
        <f t="shared" si="1"/>
        <v>4.915526586568746</v>
      </c>
      <c r="K12" s="23">
        <f t="shared" si="7"/>
        <v>8405.550463032556</v>
      </c>
      <c r="M12">
        <v>0.08999999999999998</v>
      </c>
      <c r="N12" s="104">
        <f t="shared" si="8"/>
        <v>153.89999999999998</v>
      </c>
      <c r="O12" s="21">
        <f t="shared" si="9"/>
        <v>283.03627977604964</v>
      </c>
      <c r="P12" s="21">
        <f t="shared" si="2"/>
        <v>0.1655182922666957</v>
      </c>
      <c r="R12" s="287" t="str">
        <f t="shared" si="3"/>
        <v>N</v>
      </c>
      <c r="S12" s="23">
        <f t="shared" si="10"/>
        <v>0</v>
      </c>
      <c r="T12" s="23">
        <f t="shared" si="4"/>
        <v>0</v>
      </c>
      <c r="V12" s="164">
        <f t="shared" si="5"/>
        <v>5.081044878835442</v>
      </c>
      <c r="W12" s="164">
        <f t="shared" si="6"/>
        <v>8688.586742808606</v>
      </c>
      <c r="Y12" s="165"/>
    </row>
    <row r="13" spans="2:25" ht="15">
      <c r="B13" s="69" t="s">
        <v>273</v>
      </c>
      <c r="C13" s="127" t="s">
        <v>135</v>
      </c>
      <c r="E13" s="219">
        <v>0</v>
      </c>
      <c r="F13" s="219">
        <v>0</v>
      </c>
      <c r="G13" s="220">
        <v>180</v>
      </c>
      <c r="H13" s="223">
        <f t="shared" si="0"/>
        <v>180</v>
      </c>
      <c r="J13" s="163">
        <f t="shared" si="1"/>
        <v>4.915526586568746</v>
      </c>
      <c r="K13" s="23">
        <f t="shared" si="7"/>
        <v>884.7947855823743</v>
      </c>
      <c r="M13">
        <v>0.304</v>
      </c>
      <c r="N13" s="104">
        <f t="shared" si="8"/>
        <v>54.72</v>
      </c>
      <c r="O13" s="21">
        <f t="shared" si="9"/>
        <v>100.63512169815101</v>
      </c>
      <c r="P13" s="21">
        <f t="shared" si="2"/>
        <v>0.5590840094341722</v>
      </c>
      <c r="R13" s="287" t="str">
        <f t="shared" si="3"/>
        <v>Y</v>
      </c>
      <c r="S13" s="23">
        <f t="shared" si="10"/>
        <v>0.30354460766261576</v>
      </c>
      <c r="T13" s="23">
        <f>IF(R13="Y",$T$7*H13,0)</f>
        <v>54.63802937927084</v>
      </c>
      <c r="V13" s="164">
        <f t="shared" si="5"/>
        <v>5.778155203665534</v>
      </c>
      <c r="W13" s="164">
        <f t="shared" si="6"/>
        <v>1040.067936659796</v>
      </c>
      <c r="Y13" s="165"/>
    </row>
    <row r="14" spans="2:25" ht="15">
      <c r="B14" s="113" t="s">
        <v>274</v>
      </c>
      <c r="C14" s="127" t="s">
        <v>135</v>
      </c>
      <c r="E14" s="219">
        <v>910</v>
      </c>
      <c r="F14" s="219">
        <v>195</v>
      </c>
      <c r="G14" s="220">
        <v>360</v>
      </c>
      <c r="H14" s="223">
        <f t="shared" si="0"/>
        <v>1465</v>
      </c>
      <c r="J14" s="163">
        <f t="shared" si="1"/>
        <v>4.915526586568746</v>
      </c>
      <c r="K14" s="23">
        <f t="shared" si="7"/>
        <v>7201.246449323214</v>
      </c>
      <c r="M14">
        <v>0.2697142857142857</v>
      </c>
      <c r="N14" s="104">
        <f t="shared" si="8"/>
        <v>395.1314285714285</v>
      </c>
      <c r="O14" s="21">
        <f t="shared" si="9"/>
        <v>726.6831030893635</v>
      </c>
      <c r="P14" s="21">
        <f t="shared" si="2"/>
        <v>0.4960294219040024</v>
      </c>
      <c r="R14" s="287" t="str">
        <f t="shared" si="3"/>
        <v>Y</v>
      </c>
      <c r="S14" s="23">
        <f t="shared" si="10"/>
        <v>0.30354460766261576</v>
      </c>
      <c r="T14" s="23">
        <f t="shared" si="4"/>
        <v>444.6928502257321</v>
      </c>
      <c r="V14" s="164">
        <f t="shared" si="5"/>
        <v>5.715100616135365</v>
      </c>
      <c r="W14" s="164">
        <f t="shared" si="6"/>
        <v>8372.62240263831</v>
      </c>
      <c r="Y14" s="165"/>
    </row>
    <row r="15" spans="2:25" ht="15">
      <c r="B15" t="s">
        <v>275</v>
      </c>
      <c r="C15" s="127" t="s">
        <v>135</v>
      </c>
      <c r="E15" s="219">
        <v>585</v>
      </c>
      <c r="F15" s="219">
        <v>570</v>
      </c>
      <c r="G15" s="220">
        <v>540</v>
      </c>
      <c r="H15" s="223">
        <f t="shared" si="0"/>
        <v>1695</v>
      </c>
      <c r="J15" s="163">
        <f t="shared" si="1"/>
        <v>4.915526586568746</v>
      </c>
      <c r="K15" s="23">
        <f t="shared" si="7"/>
        <v>8331.817564234025</v>
      </c>
      <c r="M15">
        <v>0.25575</v>
      </c>
      <c r="N15" s="104">
        <f t="shared" si="8"/>
        <v>433.49625</v>
      </c>
      <c r="O15" s="21">
        <f t="shared" si="9"/>
        <v>797.2395444890733</v>
      </c>
      <c r="P15" s="21">
        <f t="shared" si="2"/>
        <v>0.47034781385786034</v>
      </c>
      <c r="R15" s="287" t="str">
        <f t="shared" si="3"/>
        <v>Y</v>
      </c>
      <c r="S15" s="23">
        <f t="shared" si="10"/>
        <v>0.30354460766261576</v>
      </c>
      <c r="T15" s="23">
        <f t="shared" si="4"/>
        <v>514.5081099881337</v>
      </c>
      <c r="V15" s="164">
        <f t="shared" si="5"/>
        <v>5.689419008089223</v>
      </c>
      <c r="W15" s="164">
        <f t="shared" si="6"/>
        <v>9643.565218711232</v>
      </c>
      <c r="Y15" s="165"/>
    </row>
    <row r="16" spans="2:25" ht="15">
      <c r="B16" s="113" t="s">
        <v>276</v>
      </c>
      <c r="C16" s="127" t="s">
        <v>135</v>
      </c>
      <c r="E16" s="219">
        <v>6732</v>
      </c>
      <c r="F16" s="219">
        <v>4509</v>
      </c>
      <c r="G16" s="220">
        <v>4788</v>
      </c>
      <c r="H16" s="223">
        <f t="shared" si="0"/>
        <v>16029</v>
      </c>
      <c r="J16" s="163">
        <f t="shared" si="1"/>
        <v>4.915526586568746</v>
      </c>
      <c r="K16" s="23">
        <f t="shared" si="7"/>
        <v>78790.97565611043</v>
      </c>
      <c r="M16">
        <v>0.12100000000000002</v>
      </c>
      <c r="N16" s="104">
        <f t="shared" si="8"/>
        <v>1939.5090000000005</v>
      </c>
      <c r="O16" s="21">
        <f t="shared" si="9"/>
        <v>3566.9357501765207</v>
      </c>
      <c r="P16" s="21">
        <f t="shared" si="2"/>
        <v>0.22253014849189098</v>
      </c>
      <c r="R16" s="287" t="str">
        <f t="shared" si="3"/>
        <v>N</v>
      </c>
      <c r="S16" s="23">
        <f t="shared" si="10"/>
        <v>0</v>
      </c>
      <c r="T16" s="23">
        <f t="shared" si="4"/>
        <v>0</v>
      </c>
      <c r="V16" s="164">
        <f t="shared" si="5"/>
        <v>5.138056735060637</v>
      </c>
      <c r="W16" s="164">
        <f t="shared" si="6"/>
        <v>82357.91140628695</v>
      </c>
      <c r="Y16" s="165"/>
    </row>
    <row r="17" spans="2:25" ht="15">
      <c r="B17" s="113" t="s">
        <v>277</v>
      </c>
      <c r="C17" s="127" t="s">
        <v>135</v>
      </c>
      <c r="E17" s="219">
        <v>6812</v>
      </c>
      <c r="F17" s="219">
        <v>4992</v>
      </c>
      <c r="G17" s="220">
        <v>6984</v>
      </c>
      <c r="H17" s="223">
        <f t="shared" si="0"/>
        <v>18788</v>
      </c>
      <c r="J17" s="163">
        <f t="shared" si="1"/>
        <v>4.915526586568746</v>
      </c>
      <c r="K17" s="23">
        <f t="shared" si="7"/>
        <v>92352.91350845361</v>
      </c>
      <c r="M17">
        <v>0.22528205128205123</v>
      </c>
      <c r="N17" s="104">
        <f t="shared" si="8"/>
        <v>4232.599179487179</v>
      </c>
      <c r="O17" s="21">
        <f t="shared" si="9"/>
        <v>7784.139867090394</v>
      </c>
      <c r="P17" s="21">
        <f t="shared" si="2"/>
        <v>0.41431444896159214</v>
      </c>
      <c r="R17" s="287" t="str">
        <f t="shared" si="3"/>
        <v>N</v>
      </c>
      <c r="S17" s="23">
        <f t="shared" si="10"/>
        <v>0</v>
      </c>
      <c r="T17" s="23">
        <f t="shared" si="4"/>
        <v>0</v>
      </c>
      <c r="V17" s="164">
        <f t="shared" si="5"/>
        <v>5.329841035530339</v>
      </c>
      <c r="W17" s="164">
        <f t="shared" si="6"/>
        <v>100137.053375544</v>
      </c>
      <c r="Y17" s="165"/>
    </row>
    <row r="18" spans="2:25" ht="15">
      <c r="B18" t="s">
        <v>278</v>
      </c>
      <c r="C18" s="127" t="s">
        <v>135</v>
      </c>
      <c r="E18" s="219">
        <v>14000</v>
      </c>
      <c r="F18" s="219">
        <v>7870</v>
      </c>
      <c r="G18" s="220">
        <v>10725</v>
      </c>
      <c r="H18" s="223">
        <f t="shared" si="0"/>
        <v>32595</v>
      </c>
      <c r="J18" s="163">
        <f t="shared" si="1"/>
        <v>4.915526586568746</v>
      </c>
      <c r="K18" s="23">
        <f t="shared" si="7"/>
        <v>160221.58908920828</v>
      </c>
      <c r="M18">
        <v>0.2095625</v>
      </c>
      <c r="N18" s="104">
        <f t="shared" si="8"/>
        <v>6830.6896875</v>
      </c>
      <c r="O18" s="21">
        <f t="shared" si="9"/>
        <v>12562.267689763663</v>
      </c>
      <c r="P18" s="21">
        <f t="shared" si="2"/>
        <v>0.3854047458126603</v>
      </c>
      <c r="R18" s="287" t="str">
        <f t="shared" si="3"/>
        <v>N</v>
      </c>
      <c r="S18" s="23">
        <f t="shared" si="10"/>
        <v>0</v>
      </c>
      <c r="T18" s="23">
        <f t="shared" si="4"/>
        <v>0</v>
      </c>
      <c r="V18" s="164">
        <f t="shared" si="5"/>
        <v>5.300931332381406</v>
      </c>
      <c r="W18" s="164">
        <f t="shared" si="6"/>
        <v>172783.85677897194</v>
      </c>
      <c r="Y18" s="165"/>
    </row>
    <row r="19" spans="2:25" ht="15">
      <c r="B19" s="4" t="s">
        <v>279</v>
      </c>
      <c r="C19" s="127" t="s">
        <v>135</v>
      </c>
      <c r="E19" s="219">
        <v>975</v>
      </c>
      <c r="F19" s="219">
        <v>195</v>
      </c>
      <c r="G19" s="220">
        <v>360</v>
      </c>
      <c r="H19" s="223">
        <f t="shared" si="0"/>
        <v>1530</v>
      </c>
      <c r="J19" s="163">
        <f t="shared" si="1"/>
        <v>4.915526586568746</v>
      </c>
      <c r="K19" s="23">
        <f t="shared" si="7"/>
        <v>7520.755677450182</v>
      </c>
      <c r="M19">
        <v>0.21350000000000002</v>
      </c>
      <c r="N19" s="104">
        <f t="shared" si="8"/>
        <v>326.65500000000003</v>
      </c>
      <c r="O19" s="21">
        <f t="shared" si="9"/>
        <v>600.7486417819722</v>
      </c>
      <c r="P19" s="21">
        <f t="shared" si="2"/>
        <v>0.39264617109932826</v>
      </c>
      <c r="R19" s="287" t="str">
        <f t="shared" si="3"/>
        <v>N</v>
      </c>
      <c r="S19" s="23">
        <f t="shared" si="10"/>
        <v>0</v>
      </c>
      <c r="T19" s="23">
        <f t="shared" si="4"/>
        <v>0</v>
      </c>
      <c r="V19" s="164">
        <f t="shared" si="5"/>
        <v>5.308172757668075</v>
      </c>
      <c r="W19" s="164">
        <f t="shared" si="6"/>
        <v>8121.504319232154</v>
      </c>
      <c r="Y19" s="165"/>
    </row>
    <row r="20" spans="2:25" ht="15">
      <c r="B20" s="113" t="s">
        <v>280</v>
      </c>
      <c r="C20" s="127" t="s">
        <v>135</v>
      </c>
      <c r="E20" s="219">
        <v>2865</v>
      </c>
      <c r="F20" s="219">
        <v>1335</v>
      </c>
      <c r="G20" s="220">
        <v>1440</v>
      </c>
      <c r="H20" s="223">
        <f t="shared" si="0"/>
        <v>5640</v>
      </c>
      <c r="J20" s="163">
        <f t="shared" si="1"/>
        <v>4.915526586568746</v>
      </c>
      <c r="K20" s="23">
        <f t="shared" si="7"/>
        <v>27723.56994824773</v>
      </c>
      <c r="M20">
        <v>0.2345</v>
      </c>
      <c r="N20" s="104">
        <f t="shared" si="8"/>
        <v>1322.58</v>
      </c>
      <c r="O20" s="21">
        <f t="shared" si="9"/>
        <v>2432.3464776231826</v>
      </c>
      <c r="P20" s="21">
        <f t="shared" si="2"/>
        <v>0.4312671059615572</v>
      </c>
      <c r="R20" s="287" t="str">
        <f t="shared" si="3"/>
        <v>N</v>
      </c>
      <c r="S20" s="23">
        <f t="shared" si="10"/>
        <v>0</v>
      </c>
      <c r="T20" s="23">
        <f t="shared" si="4"/>
        <v>0</v>
      </c>
      <c r="V20" s="164">
        <f t="shared" si="5"/>
        <v>5.346793692530303</v>
      </c>
      <c r="W20" s="164">
        <f t="shared" si="6"/>
        <v>30155.91642587091</v>
      </c>
      <c r="Y20" s="165"/>
    </row>
    <row r="21" spans="2:25" ht="15">
      <c r="B21" s="69" t="s">
        <v>281</v>
      </c>
      <c r="C21" s="127" t="s">
        <v>135</v>
      </c>
      <c r="E21" s="219">
        <v>0</v>
      </c>
      <c r="F21" s="219">
        <v>0</v>
      </c>
      <c r="G21" s="220">
        <v>180</v>
      </c>
      <c r="H21" s="223">
        <f t="shared" si="0"/>
        <v>180</v>
      </c>
      <c r="J21" s="163">
        <f t="shared" si="1"/>
        <v>4.915526586568746</v>
      </c>
      <c r="K21" s="23">
        <f t="shared" si="7"/>
        <v>884.7947855823743</v>
      </c>
      <c r="M21">
        <v>0.29</v>
      </c>
      <c r="N21" s="104">
        <f t="shared" si="8"/>
        <v>52.199999999999996</v>
      </c>
      <c r="O21" s="21">
        <f t="shared" si="9"/>
        <v>96.00060951468352</v>
      </c>
      <c r="P21" s="21">
        <f t="shared" si="2"/>
        <v>0.5333367195260196</v>
      </c>
      <c r="R21" s="287" t="str">
        <f t="shared" si="3"/>
        <v>Y</v>
      </c>
      <c r="S21" s="23">
        <f t="shared" si="10"/>
        <v>0.30354460766261576</v>
      </c>
      <c r="T21" s="23">
        <f t="shared" si="4"/>
        <v>54.63802937927084</v>
      </c>
      <c r="V21" s="164">
        <f t="shared" si="5"/>
        <v>5.752407913757382</v>
      </c>
      <c r="W21" s="164">
        <f t="shared" si="6"/>
        <v>1035.4334244763286</v>
      </c>
      <c r="Y21" s="165"/>
    </row>
    <row r="22" spans="2:25" ht="15">
      <c r="B22" s="113" t="s">
        <v>282</v>
      </c>
      <c r="C22" s="127" t="s">
        <v>135</v>
      </c>
      <c r="E22" s="219">
        <v>7440</v>
      </c>
      <c r="F22" s="219">
        <v>3540</v>
      </c>
      <c r="G22" s="220">
        <v>5100</v>
      </c>
      <c r="H22" s="223">
        <f t="shared" si="0"/>
        <v>16080</v>
      </c>
      <c r="J22" s="163">
        <f t="shared" si="1"/>
        <v>4.915526586568746</v>
      </c>
      <c r="K22" s="23">
        <f t="shared" si="7"/>
        <v>79041.66751202544</v>
      </c>
      <c r="M22">
        <v>0.2074137931034483</v>
      </c>
      <c r="N22" s="104">
        <f t="shared" si="8"/>
        <v>3335.2137931034486</v>
      </c>
      <c r="O22" s="21">
        <f t="shared" si="9"/>
        <v>6133.765459764572</v>
      </c>
      <c r="P22" s="21">
        <f t="shared" si="2"/>
        <v>0.38145307585600574</v>
      </c>
      <c r="R22" s="287" t="str">
        <f t="shared" si="3"/>
        <v>N</v>
      </c>
      <c r="S22" s="23">
        <f t="shared" si="10"/>
        <v>0</v>
      </c>
      <c r="T22" s="23">
        <f t="shared" si="4"/>
        <v>0</v>
      </c>
      <c r="V22" s="164">
        <f t="shared" si="5"/>
        <v>5.296979662424752</v>
      </c>
      <c r="W22" s="164">
        <f t="shared" si="6"/>
        <v>85175.43297179001</v>
      </c>
      <c r="Y22" s="165"/>
    </row>
    <row r="23" spans="2:25" ht="15">
      <c r="B23" s="113" t="s">
        <v>283</v>
      </c>
      <c r="C23" s="127" t="s">
        <v>135</v>
      </c>
      <c r="E23" s="219">
        <v>3900</v>
      </c>
      <c r="F23" s="219">
        <v>3250</v>
      </c>
      <c r="G23" s="220">
        <v>3180</v>
      </c>
      <c r="H23" s="223">
        <f t="shared" si="0"/>
        <v>10330</v>
      </c>
      <c r="J23" s="163">
        <f t="shared" si="1"/>
        <v>4.915526586568746</v>
      </c>
      <c r="K23" s="23">
        <f t="shared" si="7"/>
        <v>50777.38963925515</v>
      </c>
      <c r="M23">
        <v>0.15065</v>
      </c>
      <c r="N23" s="104">
        <f t="shared" si="8"/>
        <v>1556.2145</v>
      </c>
      <c r="O23" s="21">
        <f t="shared" si="9"/>
        <v>2862.021849340775</v>
      </c>
      <c r="P23" s="21">
        <f t="shared" si="2"/>
        <v>0.27705923033308566</v>
      </c>
      <c r="R23" s="287" t="str">
        <f t="shared" si="3"/>
        <v>N</v>
      </c>
      <c r="S23" s="23">
        <f t="shared" si="10"/>
        <v>0</v>
      </c>
      <c r="T23" s="23">
        <f t="shared" si="4"/>
        <v>0</v>
      </c>
      <c r="V23" s="164">
        <f t="shared" si="5"/>
        <v>5.192585816901832</v>
      </c>
      <c r="W23" s="164">
        <f t="shared" si="6"/>
        <v>53639.41148859592</v>
      </c>
      <c r="Y23" s="165"/>
    </row>
    <row r="24" spans="2:25" ht="15">
      <c r="B24" s="113" t="s">
        <v>284</v>
      </c>
      <c r="C24" s="127" t="s">
        <v>135</v>
      </c>
      <c r="E24" s="219">
        <v>3120</v>
      </c>
      <c r="F24" s="219">
        <v>0</v>
      </c>
      <c r="G24" s="220">
        <v>1620</v>
      </c>
      <c r="H24" s="223">
        <f t="shared" si="0"/>
        <v>4740</v>
      </c>
      <c r="J24" s="163">
        <f t="shared" si="1"/>
        <v>4.915526586568746</v>
      </c>
      <c r="K24" s="23">
        <f t="shared" si="7"/>
        <v>23299.59602033586</v>
      </c>
      <c r="M24" s="287">
        <v>0.228</v>
      </c>
      <c r="N24" s="104">
        <f t="shared" si="8"/>
        <v>1080.72</v>
      </c>
      <c r="O24" s="21">
        <f t="shared" si="9"/>
        <v>1987.5436535384824</v>
      </c>
      <c r="P24" s="21">
        <f t="shared" si="2"/>
        <v>0.4193130070756292</v>
      </c>
      <c r="R24" s="287" t="str">
        <f t="shared" si="3"/>
        <v>N</v>
      </c>
      <c r="S24" s="23">
        <f t="shared" si="10"/>
        <v>0</v>
      </c>
      <c r="T24" s="23">
        <f t="shared" si="4"/>
        <v>0</v>
      </c>
      <c r="V24" s="164">
        <f t="shared" si="5"/>
        <v>5.334839593644375</v>
      </c>
      <c r="W24" s="164">
        <f t="shared" si="6"/>
        <v>25287.139673874342</v>
      </c>
      <c r="Y24" s="165"/>
    </row>
    <row r="25" spans="2:25" ht="15">
      <c r="B25" s="69" t="s">
        <v>285</v>
      </c>
      <c r="C25" s="127" t="s">
        <v>135</v>
      </c>
      <c r="E25" s="219">
        <v>0</v>
      </c>
      <c r="F25" s="219">
        <v>0</v>
      </c>
      <c r="G25" s="220">
        <v>270</v>
      </c>
      <c r="H25" s="223">
        <f t="shared" si="0"/>
        <v>270</v>
      </c>
      <c r="J25" s="163">
        <f t="shared" si="1"/>
        <v>4.915526586568746</v>
      </c>
      <c r="K25" s="23">
        <f t="shared" si="7"/>
        <v>1327.1921783735615</v>
      </c>
      <c r="M25">
        <v>0.141</v>
      </c>
      <c r="N25" s="104">
        <f t="shared" si="8"/>
        <v>38.06999999999999</v>
      </c>
      <c r="O25" s="21">
        <f t="shared" si="9"/>
        <v>70.01423762881228</v>
      </c>
      <c r="P25" s="21">
        <f t="shared" si="2"/>
        <v>0.2593119912178233</v>
      </c>
      <c r="R25" s="287" t="str">
        <f t="shared" si="3"/>
        <v>N</v>
      </c>
      <c r="S25" s="23">
        <f t="shared" si="10"/>
        <v>0</v>
      </c>
      <c r="T25" s="23">
        <f t="shared" si="4"/>
        <v>0</v>
      </c>
      <c r="V25" s="164">
        <f t="shared" si="5"/>
        <v>5.17483857778657</v>
      </c>
      <c r="W25" s="164">
        <f t="shared" si="6"/>
        <v>1397.2064160023738</v>
      </c>
      <c r="Y25" s="165"/>
    </row>
    <row r="26" spans="2:25" ht="15">
      <c r="B26" s="113" t="s">
        <v>286</v>
      </c>
      <c r="C26" s="127" t="s">
        <v>135</v>
      </c>
      <c r="E26" s="219">
        <v>5850</v>
      </c>
      <c r="F26" s="219">
        <v>4282</v>
      </c>
      <c r="G26" s="220">
        <v>4320</v>
      </c>
      <c r="H26" s="223">
        <f t="shared" si="0"/>
        <v>14452</v>
      </c>
      <c r="J26" s="163">
        <f t="shared" si="1"/>
        <v>4.915526586568746</v>
      </c>
      <c r="K26" s="23">
        <f t="shared" si="7"/>
        <v>71039.19022909152</v>
      </c>
      <c r="M26">
        <v>0.22937037037037034</v>
      </c>
      <c r="N26" s="104">
        <f t="shared" si="8"/>
        <v>3314.860592592592</v>
      </c>
      <c r="O26" s="21">
        <f t="shared" si="9"/>
        <v>6096.334048756587</v>
      </c>
      <c r="P26" s="21">
        <f t="shared" si="2"/>
        <v>0.4218332444475912</v>
      </c>
      <c r="R26" s="287" t="str">
        <f t="shared" si="3"/>
        <v>N</v>
      </c>
      <c r="S26" s="23">
        <f t="shared" si="10"/>
        <v>0</v>
      </c>
      <c r="T26" s="23">
        <f t="shared" si="4"/>
        <v>0</v>
      </c>
      <c r="V26" s="164">
        <f t="shared" si="5"/>
        <v>5.337359831016338</v>
      </c>
      <c r="W26" s="164">
        <f t="shared" si="6"/>
        <v>77135.5242778481</v>
      </c>
      <c r="Y26" s="165"/>
    </row>
    <row r="27" spans="2:25" ht="15">
      <c r="B27" s="113" t="s">
        <v>287</v>
      </c>
      <c r="C27" s="127" t="s">
        <v>135</v>
      </c>
      <c r="E27" s="219">
        <v>7020</v>
      </c>
      <c r="F27" s="219">
        <v>8775</v>
      </c>
      <c r="G27" s="220">
        <v>7920</v>
      </c>
      <c r="H27" s="223">
        <f t="shared" si="0"/>
        <v>23715</v>
      </c>
      <c r="J27" s="163">
        <f t="shared" si="1"/>
        <v>4.915526586568746</v>
      </c>
      <c r="K27" s="23">
        <f t="shared" si="7"/>
        <v>116571.71300047782</v>
      </c>
      <c r="M27">
        <v>0.24662500000000007</v>
      </c>
      <c r="N27" s="104">
        <f t="shared" si="8"/>
        <v>5848.711875000002</v>
      </c>
      <c r="O27" s="21">
        <f t="shared" si="9"/>
        <v>10756.32001677716</v>
      </c>
      <c r="P27" s="21">
        <f t="shared" si="2"/>
        <v>0.4535660981141539</v>
      </c>
      <c r="R27" s="287" t="str">
        <f t="shared" si="3"/>
        <v>N</v>
      </c>
      <c r="S27" s="23">
        <f t="shared" si="10"/>
        <v>0</v>
      </c>
      <c r="T27" s="23">
        <f t="shared" si="4"/>
        <v>0</v>
      </c>
      <c r="V27" s="164">
        <f t="shared" si="5"/>
        <v>5.3690926846829</v>
      </c>
      <c r="W27" s="164">
        <f t="shared" si="6"/>
        <v>127328.03301725497</v>
      </c>
      <c r="Y27" s="165"/>
    </row>
    <row r="28" spans="2:25" ht="15">
      <c r="B28" t="s">
        <v>288</v>
      </c>
      <c r="C28" s="127" t="s">
        <v>135</v>
      </c>
      <c r="E28" s="219">
        <v>2145</v>
      </c>
      <c r="F28" s="219">
        <v>2925</v>
      </c>
      <c r="G28" s="220">
        <v>3240</v>
      </c>
      <c r="H28" s="223">
        <f t="shared" si="0"/>
        <v>8310</v>
      </c>
      <c r="J28" s="163">
        <f t="shared" si="1"/>
        <v>4.915526586568746</v>
      </c>
      <c r="K28" s="23">
        <f t="shared" si="7"/>
        <v>40848.025934386285</v>
      </c>
      <c r="M28">
        <v>0.254</v>
      </c>
      <c r="N28" s="104">
        <f t="shared" si="8"/>
        <v>2110.7400000000002</v>
      </c>
      <c r="O28" s="21">
        <f t="shared" si="9"/>
        <v>3881.8453357667267</v>
      </c>
      <c r="P28" s="21">
        <f t="shared" si="2"/>
        <v>0.4671294026193414</v>
      </c>
      <c r="R28" s="287" t="str">
        <f t="shared" si="3"/>
        <v>Y</v>
      </c>
      <c r="S28" s="23">
        <f t="shared" si="10"/>
        <v>0.30354460766261576</v>
      </c>
      <c r="T28" s="23">
        <f t="shared" si="4"/>
        <v>2522.455689676337</v>
      </c>
      <c r="V28" s="164">
        <f t="shared" si="5"/>
        <v>5.6862005968507034</v>
      </c>
      <c r="W28" s="164">
        <f t="shared" si="6"/>
        <v>47252.32695982935</v>
      </c>
      <c r="Y28" s="165"/>
    </row>
    <row r="29" spans="2:25" ht="15">
      <c r="B29" s="113" t="s">
        <v>289</v>
      </c>
      <c r="C29" s="127" t="s">
        <v>135</v>
      </c>
      <c r="E29" s="219">
        <v>975</v>
      </c>
      <c r="F29" s="219">
        <v>195</v>
      </c>
      <c r="G29" s="220">
        <v>180</v>
      </c>
      <c r="H29" s="223">
        <f t="shared" si="0"/>
        <v>1350</v>
      </c>
      <c r="J29" s="163">
        <f t="shared" si="1"/>
        <v>4.915526586568746</v>
      </c>
      <c r="K29" s="23">
        <f t="shared" si="7"/>
        <v>6635.960891867808</v>
      </c>
      <c r="M29">
        <v>0.201</v>
      </c>
      <c r="N29" s="104">
        <f t="shared" si="8"/>
        <v>271.35</v>
      </c>
      <c r="O29" s="21">
        <f t="shared" si="9"/>
        <v>499.0376511840877</v>
      </c>
      <c r="P29" s="21">
        <f t="shared" si="2"/>
        <v>0.3696575193956205</v>
      </c>
      <c r="R29" s="287" t="str">
        <f t="shared" si="3"/>
        <v>N</v>
      </c>
      <c r="S29" s="23">
        <f t="shared" si="10"/>
        <v>0</v>
      </c>
      <c r="T29" s="23">
        <f t="shared" si="4"/>
        <v>0</v>
      </c>
      <c r="V29" s="164">
        <f t="shared" si="5"/>
        <v>5.285184105964367</v>
      </c>
      <c r="W29" s="164">
        <f t="shared" si="6"/>
        <v>7134.9985430518955</v>
      </c>
      <c r="Y29" s="165"/>
    </row>
    <row r="30" spans="2:25" ht="13.5" customHeight="1">
      <c r="B30" s="294" t="s">
        <v>290</v>
      </c>
      <c r="C30" s="128" t="s">
        <v>135</v>
      </c>
      <c r="D30" s="93"/>
      <c r="E30" s="219">
        <v>195</v>
      </c>
      <c r="F30" s="219">
        <v>0</v>
      </c>
      <c r="G30" s="220">
        <v>180</v>
      </c>
      <c r="H30" s="288">
        <f t="shared" si="0"/>
        <v>375</v>
      </c>
      <c r="I30" s="171"/>
      <c r="J30" s="163">
        <f t="shared" si="1"/>
        <v>4.915526586568746</v>
      </c>
      <c r="K30" s="135">
        <f t="shared" si="7"/>
        <v>1843.32246996328</v>
      </c>
      <c r="L30" s="93"/>
      <c r="M30" s="4">
        <v>0.294</v>
      </c>
      <c r="N30" s="289">
        <f t="shared" si="8"/>
        <v>110.25</v>
      </c>
      <c r="O30" s="21">
        <f t="shared" si="9"/>
        <v>202.75990802670228</v>
      </c>
      <c r="P30" s="290">
        <f t="shared" si="2"/>
        <v>0.5406930880712061</v>
      </c>
      <c r="Q30" s="93"/>
      <c r="R30" s="291" t="str">
        <f t="shared" si="3"/>
        <v>Y</v>
      </c>
      <c r="S30" s="23">
        <f t="shared" si="10"/>
        <v>0.30354460766261576</v>
      </c>
      <c r="T30" s="23">
        <f t="shared" si="4"/>
        <v>113.82922787348092</v>
      </c>
      <c r="U30" s="93"/>
      <c r="V30" s="292">
        <f t="shared" si="5"/>
        <v>5.7597642823025685</v>
      </c>
      <c r="W30" s="292">
        <f t="shared" si="6"/>
        <v>2159.911605863463</v>
      </c>
      <c r="X30" s="93"/>
      <c r="Y30" s="293"/>
    </row>
    <row r="31" spans="2:25" ht="15">
      <c r="B31" s="166" t="s">
        <v>291</v>
      </c>
      <c r="C31" s="127" t="s">
        <v>135</v>
      </c>
      <c r="E31" s="219">
        <v>195</v>
      </c>
      <c r="F31" s="219">
        <v>195</v>
      </c>
      <c r="G31" s="220">
        <v>180</v>
      </c>
      <c r="H31" s="223">
        <f t="shared" si="0"/>
        <v>570</v>
      </c>
      <c r="J31" s="163">
        <f t="shared" si="1"/>
        <v>4.915526586568746</v>
      </c>
      <c r="K31" s="23">
        <f t="shared" si="7"/>
        <v>2801.8501543441853</v>
      </c>
      <c r="M31" s="287">
        <v>0</v>
      </c>
      <c r="N31" s="104">
        <f t="shared" si="8"/>
        <v>0</v>
      </c>
      <c r="O31" s="21">
        <f t="shared" si="9"/>
        <v>0</v>
      </c>
      <c r="P31" s="21">
        <f t="shared" si="2"/>
        <v>0</v>
      </c>
      <c r="R31" s="287" t="str">
        <f t="shared" si="3"/>
        <v>N</v>
      </c>
      <c r="S31" s="23">
        <f t="shared" si="10"/>
        <v>0</v>
      </c>
      <c r="T31" s="23">
        <f t="shared" si="4"/>
        <v>0</v>
      </c>
      <c r="V31" s="164">
        <f t="shared" si="5"/>
        <v>4.915526586568746</v>
      </c>
      <c r="W31" s="164">
        <f t="shared" si="6"/>
        <v>2801.8501543441853</v>
      </c>
      <c r="Y31" s="165"/>
    </row>
    <row r="32" spans="2:25" ht="15">
      <c r="B32" s="113" t="s">
        <v>292</v>
      </c>
      <c r="C32" s="127" t="s">
        <v>135</v>
      </c>
      <c r="E32" s="219">
        <v>1950</v>
      </c>
      <c r="F32" s="219">
        <v>1560</v>
      </c>
      <c r="G32" s="220">
        <v>1800</v>
      </c>
      <c r="H32" s="223">
        <f t="shared" si="0"/>
        <v>5310</v>
      </c>
      <c r="J32" s="163">
        <f t="shared" si="1"/>
        <v>4.915526586568746</v>
      </c>
      <c r="K32" s="23">
        <f t="shared" si="7"/>
        <v>26101.446174680044</v>
      </c>
      <c r="M32">
        <v>0.097</v>
      </c>
      <c r="N32" s="104">
        <f t="shared" si="8"/>
        <v>515.07</v>
      </c>
      <c r="O32" s="21">
        <f t="shared" si="9"/>
        <v>947.2611866422998</v>
      </c>
      <c r="P32" s="21">
        <f t="shared" si="2"/>
        <v>0.1783919372207721</v>
      </c>
      <c r="R32" s="287" t="str">
        <f t="shared" si="3"/>
        <v>N</v>
      </c>
      <c r="S32" s="23">
        <f t="shared" si="10"/>
        <v>0</v>
      </c>
      <c r="T32" s="23">
        <f t="shared" si="4"/>
        <v>0</v>
      </c>
      <c r="V32" s="164">
        <f t="shared" si="5"/>
        <v>5.093918523789519</v>
      </c>
      <c r="W32" s="164">
        <f t="shared" si="6"/>
        <v>27048.707361322344</v>
      </c>
      <c r="Y32" s="165"/>
    </row>
    <row r="33" spans="2:25" ht="15">
      <c r="B33" s="113" t="s">
        <v>293</v>
      </c>
      <c r="C33" s="127" t="s">
        <v>135</v>
      </c>
      <c r="E33" s="219">
        <v>5850</v>
      </c>
      <c r="F33" s="219">
        <v>3810</v>
      </c>
      <c r="G33" s="220">
        <v>4500</v>
      </c>
      <c r="H33" s="223">
        <f t="shared" si="0"/>
        <v>14160</v>
      </c>
      <c r="J33" s="163">
        <f t="shared" si="1"/>
        <v>4.915526586568746</v>
      </c>
      <c r="K33" s="23">
        <f t="shared" si="7"/>
        <v>69603.85646581344</v>
      </c>
      <c r="M33">
        <v>0.11564000000000002</v>
      </c>
      <c r="N33" s="104">
        <f t="shared" si="8"/>
        <v>1637.4624000000003</v>
      </c>
      <c r="O33" s="21">
        <f t="shared" si="9"/>
        <v>3011.44422332139</v>
      </c>
      <c r="P33" s="21">
        <f t="shared" si="2"/>
        <v>0.2126726146413411</v>
      </c>
      <c r="R33" s="287" t="str">
        <f t="shared" si="3"/>
        <v>N</v>
      </c>
      <c r="S33" s="23">
        <f t="shared" si="10"/>
        <v>0</v>
      </c>
      <c r="T33" s="23">
        <f t="shared" si="4"/>
        <v>0</v>
      </c>
      <c r="V33" s="164">
        <f t="shared" si="5"/>
        <v>5.128199201210087</v>
      </c>
      <c r="W33" s="164">
        <f t="shared" si="6"/>
        <v>72615.30068913483</v>
      </c>
      <c r="Y33" s="165"/>
    </row>
    <row r="34" spans="2:25" ht="15">
      <c r="B34" s="113" t="s">
        <v>294</v>
      </c>
      <c r="C34" s="127" t="s">
        <v>135</v>
      </c>
      <c r="E34" s="219">
        <v>390</v>
      </c>
      <c r="F34" s="219">
        <v>390</v>
      </c>
      <c r="G34" s="220">
        <v>360</v>
      </c>
      <c r="H34" s="223">
        <f t="shared" si="0"/>
        <v>1140</v>
      </c>
      <c r="J34" s="163">
        <f t="shared" si="1"/>
        <v>4.915526586568746</v>
      </c>
      <c r="K34" s="23">
        <f t="shared" si="7"/>
        <v>5603.700308688371</v>
      </c>
      <c r="M34">
        <v>0.164</v>
      </c>
      <c r="N34" s="104">
        <f t="shared" si="8"/>
        <v>186.96</v>
      </c>
      <c r="O34" s="21">
        <f t="shared" si="9"/>
        <v>343.83666580201594</v>
      </c>
      <c r="P34" s="21">
        <f t="shared" si="2"/>
        <v>0.30161111035264554</v>
      </c>
      <c r="R34" s="287" t="str">
        <f t="shared" si="3"/>
        <v>N</v>
      </c>
      <c r="S34" s="23">
        <f t="shared" si="10"/>
        <v>0</v>
      </c>
      <c r="T34" s="23">
        <f t="shared" si="4"/>
        <v>0</v>
      </c>
      <c r="V34" s="164">
        <f t="shared" si="5"/>
        <v>5.217137696921392</v>
      </c>
      <c r="W34" s="164">
        <f t="shared" si="6"/>
        <v>5947.5369744903865</v>
      </c>
      <c r="Y34" s="165"/>
    </row>
    <row r="35" spans="2:25" ht="15">
      <c r="B35" s="4" t="s">
        <v>295</v>
      </c>
      <c r="C35" s="128" t="s">
        <v>135</v>
      </c>
      <c r="D35" s="93"/>
      <c r="E35" s="219">
        <v>0</v>
      </c>
      <c r="F35" s="219">
        <v>0</v>
      </c>
      <c r="G35" s="220">
        <v>360</v>
      </c>
      <c r="H35" s="288">
        <f t="shared" si="0"/>
        <v>360</v>
      </c>
      <c r="I35" s="171"/>
      <c r="J35" s="163">
        <f t="shared" si="1"/>
        <v>4.915526586568746</v>
      </c>
      <c r="K35" s="135">
        <f t="shared" si="7"/>
        <v>1769.5895711647486</v>
      </c>
      <c r="L35" s="93"/>
      <c r="M35" s="4">
        <v>0.2655</v>
      </c>
      <c r="N35" s="289">
        <f t="shared" si="8"/>
        <v>95.58</v>
      </c>
      <c r="O35" s="21">
        <f t="shared" si="9"/>
        <v>175.78042638723088</v>
      </c>
      <c r="P35" s="290">
        <f t="shared" si="2"/>
        <v>0.48827896218675243</v>
      </c>
      <c r="Q35" s="93"/>
      <c r="R35" s="291" t="str">
        <f t="shared" si="3"/>
        <v>Y</v>
      </c>
      <c r="S35" s="23">
        <f t="shared" si="10"/>
        <v>0.30354460766261576</v>
      </c>
      <c r="T35" s="23">
        <f t="shared" si="4"/>
        <v>109.27605875854168</v>
      </c>
      <c r="U35" s="93"/>
      <c r="V35" s="292">
        <f t="shared" si="5"/>
        <v>5.707350156418115</v>
      </c>
      <c r="W35" s="292">
        <f t="shared" si="6"/>
        <v>2054.646056310521</v>
      </c>
      <c r="X35" s="93"/>
      <c r="Y35" s="293"/>
    </row>
    <row r="36" spans="2:25" ht="15">
      <c r="B36" s="113" t="s">
        <v>296</v>
      </c>
      <c r="C36" s="127" t="s">
        <v>135</v>
      </c>
      <c r="E36" s="219">
        <v>2619</v>
      </c>
      <c r="F36" s="219">
        <v>345</v>
      </c>
      <c r="G36" s="220">
        <v>1620</v>
      </c>
      <c r="H36" s="223">
        <f t="shared" si="0"/>
        <v>4584</v>
      </c>
      <c r="J36" s="163">
        <f t="shared" si="1"/>
        <v>4.915526586568746</v>
      </c>
      <c r="K36" s="23">
        <f t="shared" si="7"/>
        <v>22532.773872831134</v>
      </c>
      <c r="M36">
        <v>0.10766666666666665</v>
      </c>
      <c r="N36" s="104">
        <f t="shared" si="8"/>
        <v>493.5439999999999</v>
      </c>
      <c r="O36" s="21">
        <f t="shared" si="9"/>
        <v>907.6728893163785</v>
      </c>
      <c r="P36" s="21">
        <f t="shared" si="2"/>
        <v>0.19800892000793596</v>
      </c>
      <c r="R36" s="287" t="str">
        <f t="shared" si="3"/>
        <v>N</v>
      </c>
      <c r="S36" s="23">
        <f t="shared" si="10"/>
        <v>0</v>
      </c>
      <c r="T36" s="23">
        <f t="shared" si="4"/>
        <v>0</v>
      </c>
      <c r="V36" s="164">
        <f t="shared" si="5"/>
        <v>5.1135355065766825</v>
      </c>
      <c r="W36" s="164">
        <f t="shared" si="6"/>
        <v>23440.446762147512</v>
      </c>
      <c r="Y36" s="165"/>
    </row>
    <row r="37" spans="2:25" ht="15">
      <c r="B37" s="113" t="s">
        <v>297</v>
      </c>
      <c r="C37" s="127" t="s">
        <v>135</v>
      </c>
      <c r="E37" s="219">
        <v>195</v>
      </c>
      <c r="F37" s="219">
        <v>0</v>
      </c>
      <c r="G37" s="220">
        <v>180</v>
      </c>
      <c r="H37" s="223">
        <f t="shared" si="0"/>
        <v>375</v>
      </c>
      <c r="J37" s="163">
        <f t="shared" si="1"/>
        <v>4.915526586568746</v>
      </c>
      <c r="K37" s="23">
        <f t="shared" si="7"/>
        <v>1843.32246996328</v>
      </c>
      <c r="M37">
        <v>0.08800000000000001</v>
      </c>
      <c r="N37" s="104">
        <f t="shared" si="8"/>
        <v>33</v>
      </c>
      <c r="O37" s="21">
        <f t="shared" si="9"/>
        <v>60.69004049778844</v>
      </c>
      <c r="P37" s="21">
        <f t="shared" si="2"/>
        <v>0.1618401079941025</v>
      </c>
      <c r="R37" s="287" t="str">
        <f t="shared" si="3"/>
        <v>N</v>
      </c>
      <c r="S37" s="23">
        <f t="shared" si="10"/>
        <v>0</v>
      </c>
      <c r="T37" s="23">
        <f t="shared" si="4"/>
        <v>0</v>
      </c>
      <c r="V37" s="164">
        <f t="shared" si="5"/>
        <v>5.077366694562849</v>
      </c>
      <c r="W37" s="164">
        <f t="shared" si="6"/>
        <v>1904.0125104610684</v>
      </c>
      <c r="Y37" s="165"/>
    </row>
    <row r="38" spans="2:25" ht="15">
      <c r="B38" t="s">
        <v>298</v>
      </c>
      <c r="C38" s="127" t="s">
        <v>135</v>
      </c>
      <c r="E38" s="219">
        <v>390</v>
      </c>
      <c r="F38" s="219">
        <v>390</v>
      </c>
      <c r="G38" s="220">
        <v>540</v>
      </c>
      <c r="H38" s="223">
        <f t="shared" si="0"/>
        <v>1320</v>
      </c>
      <c r="J38" s="163">
        <f t="shared" si="1"/>
        <v>4.915526586568746</v>
      </c>
      <c r="K38" s="23">
        <f t="shared" si="7"/>
        <v>6488.4950942707455</v>
      </c>
      <c r="M38">
        <v>0.106</v>
      </c>
      <c r="N38" s="104">
        <f t="shared" si="8"/>
        <v>139.92</v>
      </c>
      <c r="O38" s="21">
        <f t="shared" si="9"/>
        <v>257.325771710623</v>
      </c>
      <c r="P38" s="21">
        <f t="shared" si="2"/>
        <v>0.19494376644744166</v>
      </c>
      <c r="R38" s="287" t="str">
        <f t="shared" si="3"/>
        <v>N</v>
      </c>
      <c r="S38" s="23">
        <f t="shared" si="10"/>
        <v>0</v>
      </c>
      <c r="T38" s="23">
        <f t="shared" si="4"/>
        <v>0</v>
      </c>
      <c r="V38" s="164">
        <f t="shared" si="5"/>
        <v>5.110470353016188</v>
      </c>
      <c r="W38" s="164">
        <f t="shared" si="6"/>
        <v>6745.820865981368</v>
      </c>
      <c r="Y38" s="165"/>
    </row>
    <row r="39" spans="2:25" ht="15">
      <c r="B39" s="113" t="s">
        <v>299</v>
      </c>
      <c r="C39" s="127" t="s">
        <v>135</v>
      </c>
      <c r="E39" s="219">
        <v>195</v>
      </c>
      <c r="F39" s="219">
        <v>585</v>
      </c>
      <c r="G39" s="220">
        <v>720</v>
      </c>
      <c r="H39" s="223">
        <f t="shared" si="0"/>
        <v>1500</v>
      </c>
      <c r="J39" s="163">
        <f t="shared" si="1"/>
        <v>4.915526586568746</v>
      </c>
      <c r="K39" s="23">
        <f t="shared" si="7"/>
        <v>7373.28987985312</v>
      </c>
      <c r="M39">
        <v>0.23500000000000001</v>
      </c>
      <c r="N39" s="104">
        <f t="shared" si="8"/>
        <v>352.5</v>
      </c>
      <c r="O39" s="21">
        <f t="shared" si="9"/>
        <v>648.2799780445583</v>
      </c>
      <c r="P39" s="21">
        <f t="shared" si="2"/>
        <v>0.4321866520297056</v>
      </c>
      <c r="R39" s="287" t="str">
        <f t="shared" si="3"/>
        <v>N</v>
      </c>
      <c r="S39" s="23">
        <f t="shared" si="10"/>
        <v>0</v>
      </c>
      <c r="T39" s="23">
        <f t="shared" si="4"/>
        <v>0</v>
      </c>
      <c r="V39" s="164">
        <f t="shared" si="5"/>
        <v>5.347713238598452</v>
      </c>
      <c r="W39" s="164">
        <f t="shared" si="6"/>
        <v>8021.569857897678</v>
      </c>
      <c r="Y39" s="165"/>
    </row>
    <row r="40" spans="2:25" ht="15">
      <c r="B40" t="s">
        <v>300</v>
      </c>
      <c r="C40" s="127" t="s">
        <v>135</v>
      </c>
      <c r="E40" s="219">
        <v>0</v>
      </c>
      <c r="F40" s="219">
        <v>0</v>
      </c>
      <c r="G40" s="220">
        <v>180</v>
      </c>
      <c r="H40" s="223">
        <f t="shared" si="0"/>
        <v>180</v>
      </c>
      <c r="J40" s="163">
        <f t="shared" si="1"/>
        <v>4.915526586568746</v>
      </c>
      <c r="K40" s="23">
        <f t="shared" si="7"/>
        <v>884.7947855823743</v>
      </c>
      <c r="M40">
        <v>0.07833333333333332</v>
      </c>
      <c r="N40" s="104">
        <f t="shared" si="8"/>
        <v>14.099999999999998</v>
      </c>
      <c r="O40" s="21">
        <f t="shared" si="9"/>
        <v>25.931199121782328</v>
      </c>
      <c r="P40" s="21">
        <f t="shared" si="2"/>
        <v>0.14406221734323515</v>
      </c>
      <c r="R40" s="287" t="str">
        <f t="shared" si="3"/>
        <v>N</v>
      </c>
      <c r="S40" s="23">
        <f t="shared" si="10"/>
        <v>0</v>
      </c>
      <c r="T40" s="23">
        <f t="shared" si="4"/>
        <v>0</v>
      </c>
      <c r="V40" s="164">
        <f t="shared" si="5"/>
        <v>5.059588803911981</v>
      </c>
      <c r="W40" s="164">
        <f t="shared" si="6"/>
        <v>910.7259847041566</v>
      </c>
      <c r="Y40" s="165"/>
    </row>
    <row r="41" spans="2:25" ht="15">
      <c r="B41" s="113" t="s">
        <v>301</v>
      </c>
      <c r="C41" s="127" t="s">
        <v>135</v>
      </c>
      <c r="E41" s="219">
        <v>3120</v>
      </c>
      <c r="F41" s="219">
        <v>195</v>
      </c>
      <c r="G41" s="220">
        <v>2079</v>
      </c>
      <c r="H41" s="223">
        <f t="shared" si="0"/>
        <v>5394</v>
      </c>
      <c r="J41" s="163">
        <f t="shared" si="1"/>
        <v>4.915526586568746</v>
      </c>
      <c r="K41" s="23">
        <f t="shared" si="7"/>
        <v>26514.350407951817</v>
      </c>
      <c r="M41">
        <v>0.10871428571428574</v>
      </c>
      <c r="N41" s="104">
        <f t="shared" si="8"/>
        <v>586.4048571428573</v>
      </c>
      <c r="O41" s="21">
        <f t="shared" si="9"/>
        <v>1078.4525614575712</v>
      </c>
      <c r="P41" s="21">
        <f t="shared" si="2"/>
        <v>0.1999355879602468</v>
      </c>
      <c r="R41" s="287" t="str">
        <f t="shared" si="3"/>
        <v>N</v>
      </c>
      <c r="S41" s="23">
        <f t="shared" si="10"/>
        <v>0</v>
      </c>
      <c r="T41" s="23">
        <f t="shared" si="4"/>
        <v>0</v>
      </c>
      <c r="V41" s="164">
        <f t="shared" si="5"/>
        <v>5.115462174528993</v>
      </c>
      <c r="W41" s="164">
        <f t="shared" si="6"/>
        <v>27592.80296940939</v>
      </c>
      <c r="Y41" s="165"/>
    </row>
    <row r="42" spans="2:25" ht="15">
      <c r="B42" s="113" t="s">
        <v>302</v>
      </c>
      <c r="C42" s="127" t="s">
        <v>135</v>
      </c>
      <c r="E42" s="219">
        <v>13680</v>
      </c>
      <c r="F42" s="219">
        <v>7845</v>
      </c>
      <c r="G42" s="220">
        <v>9885</v>
      </c>
      <c r="H42" s="223">
        <f t="shared" si="0"/>
        <v>31410</v>
      </c>
      <c r="J42" s="163">
        <f t="shared" si="1"/>
        <v>4.915526586568746</v>
      </c>
      <c r="K42" s="23">
        <f t="shared" si="7"/>
        <v>154396.69008412433</v>
      </c>
      <c r="M42">
        <v>0.2912982456140351</v>
      </c>
      <c r="N42" s="104">
        <f t="shared" si="8"/>
        <v>9149.677894736842</v>
      </c>
      <c r="O42" s="21">
        <f t="shared" si="9"/>
        <v>16827.10066585753</v>
      </c>
      <c r="P42" s="21">
        <f t="shared" si="2"/>
        <v>0.535724312825773</v>
      </c>
      <c r="R42" s="287" t="str">
        <f t="shared" si="3"/>
        <v>Y</v>
      </c>
      <c r="S42" s="23">
        <f t="shared" si="10"/>
        <v>0.30354460766261576</v>
      </c>
      <c r="T42" s="23">
        <f t="shared" si="4"/>
        <v>9534.336126682761</v>
      </c>
      <c r="V42" s="164">
        <f t="shared" si="5"/>
        <v>5.7547955070571355</v>
      </c>
      <c r="W42" s="164">
        <f t="shared" si="6"/>
        <v>180758.12687666464</v>
      </c>
      <c r="Y42" s="165"/>
    </row>
    <row r="43" spans="2:25" ht="15">
      <c r="B43" s="113" t="s">
        <v>303</v>
      </c>
      <c r="C43" s="127" t="s">
        <v>135</v>
      </c>
      <c r="E43" s="219">
        <v>4095</v>
      </c>
      <c r="F43" s="219">
        <v>2340</v>
      </c>
      <c r="G43" s="220">
        <v>2820</v>
      </c>
      <c r="H43" s="223">
        <f t="shared" si="0"/>
        <v>9255</v>
      </c>
      <c r="J43" s="163">
        <f t="shared" si="1"/>
        <v>4.915526586568746</v>
      </c>
      <c r="K43" s="23">
        <f t="shared" si="7"/>
        <v>45493.198558693744</v>
      </c>
      <c r="M43">
        <v>0.15056250000000002</v>
      </c>
      <c r="N43" s="104">
        <f t="shared" si="8"/>
        <v>1393.4559375000001</v>
      </c>
      <c r="O43" s="21">
        <f t="shared" si="9"/>
        <v>2562.6938569320837</v>
      </c>
      <c r="P43" s="21">
        <f t="shared" si="2"/>
        <v>0.27689830977115976</v>
      </c>
      <c r="R43" s="287" t="str">
        <f t="shared" si="3"/>
        <v>N</v>
      </c>
      <c r="S43" s="23">
        <f t="shared" si="10"/>
        <v>0</v>
      </c>
      <c r="T43" s="23">
        <f t="shared" si="4"/>
        <v>0</v>
      </c>
      <c r="V43" s="164">
        <f t="shared" si="5"/>
        <v>5.192424896339906</v>
      </c>
      <c r="W43" s="164">
        <f t="shared" si="6"/>
        <v>48055.89241562583</v>
      </c>
      <c r="Y43" s="165"/>
    </row>
    <row r="44" spans="2:25" ht="15">
      <c r="B44" t="s">
        <v>304</v>
      </c>
      <c r="C44" s="127" t="s">
        <v>135</v>
      </c>
      <c r="E44" s="219">
        <v>0</v>
      </c>
      <c r="F44" s="219">
        <v>0</v>
      </c>
      <c r="G44" s="220">
        <v>180</v>
      </c>
      <c r="H44" s="223">
        <f t="shared" si="0"/>
        <v>180</v>
      </c>
      <c r="J44" s="163">
        <f t="shared" si="1"/>
        <v>4.915526586568746</v>
      </c>
      <c r="K44" s="23">
        <f t="shared" si="7"/>
        <v>884.7947855823743</v>
      </c>
      <c r="M44">
        <v>0.142</v>
      </c>
      <c r="N44" s="104">
        <f t="shared" si="8"/>
        <v>25.56</v>
      </c>
      <c r="O44" s="21">
        <f t="shared" si="9"/>
        <v>47.007195003741586</v>
      </c>
      <c r="P44" s="21">
        <f t="shared" si="2"/>
        <v>0.2611510833541199</v>
      </c>
      <c r="R44" s="287" t="str">
        <f t="shared" si="3"/>
        <v>N</v>
      </c>
      <c r="S44" s="23">
        <f t="shared" si="10"/>
        <v>0</v>
      </c>
      <c r="T44" s="23">
        <f t="shared" si="4"/>
        <v>0</v>
      </c>
      <c r="V44" s="164">
        <f t="shared" si="5"/>
        <v>5.176677669922866</v>
      </c>
      <c r="W44" s="164">
        <f t="shared" si="6"/>
        <v>931.8019805861159</v>
      </c>
      <c r="Y44" s="165"/>
    </row>
    <row r="45" spans="2:25" ht="15">
      <c r="B45" s="113" t="s">
        <v>305</v>
      </c>
      <c r="C45" s="127" t="s">
        <v>135</v>
      </c>
      <c r="E45" s="219">
        <v>3705</v>
      </c>
      <c r="F45" s="219">
        <v>2535</v>
      </c>
      <c r="G45" s="220">
        <v>3540</v>
      </c>
      <c r="H45" s="223">
        <f t="shared" si="0"/>
        <v>9780</v>
      </c>
      <c r="J45" s="163">
        <f t="shared" si="1"/>
        <v>4.915526586568746</v>
      </c>
      <c r="K45" s="23">
        <f t="shared" si="7"/>
        <v>48073.85001664234</v>
      </c>
      <c r="M45">
        <v>0.11460000000000001</v>
      </c>
      <c r="N45" s="104">
        <f t="shared" si="8"/>
        <v>1120.788</v>
      </c>
      <c r="O45" s="21">
        <f t="shared" si="9"/>
        <v>2061.2323972556155</v>
      </c>
      <c r="P45" s="21">
        <f t="shared" si="2"/>
        <v>0.21075995881959259</v>
      </c>
      <c r="R45" s="287" t="str">
        <f t="shared" si="3"/>
        <v>N</v>
      </c>
      <c r="S45" s="23">
        <f t="shared" si="10"/>
        <v>0</v>
      </c>
      <c r="T45" s="23">
        <f t="shared" si="4"/>
        <v>0</v>
      </c>
      <c r="V45" s="164">
        <f t="shared" si="5"/>
        <v>5.126286545388339</v>
      </c>
      <c r="W45" s="164">
        <f t="shared" si="6"/>
        <v>50135.08241389796</v>
      </c>
      <c r="Y45" s="165"/>
    </row>
    <row r="46" spans="2:25" ht="15">
      <c r="B46" s="113" t="s">
        <v>306</v>
      </c>
      <c r="C46" s="127" t="s">
        <v>135</v>
      </c>
      <c r="E46" s="219">
        <v>7980</v>
      </c>
      <c r="F46" s="219">
        <v>4515</v>
      </c>
      <c r="G46" s="220">
        <v>4995</v>
      </c>
      <c r="H46" s="223">
        <f t="shared" si="0"/>
        <v>17490</v>
      </c>
      <c r="J46" s="163">
        <f t="shared" si="1"/>
        <v>4.915526586568746</v>
      </c>
      <c r="K46" s="23">
        <f t="shared" si="7"/>
        <v>85972.55999908737</v>
      </c>
      <c r="M46">
        <v>0.3003</v>
      </c>
      <c r="N46" s="104">
        <f t="shared" si="8"/>
        <v>5252.247</v>
      </c>
      <c r="O46" s="21">
        <f t="shared" si="9"/>
        <v>9659.36615558751</v>
      </c>
      <c r="P46" s="21">
        <f t="shared" si="2"/>
        <v>0.5522793685298748</v>
      </c>
      <c r="R46" s="287" t="str">
        <f t="shared" si="3"/>
        <v>Y</v>
      </c>
      <c r="S46" s="23">
        <f t="shared" si="10"/>
        <v>0.30354460766261576</v>
      </c>
      <c r="T46" s="23">
        <f t="shared" si="4"/>
        <v>5308.995188019149</v>
      </c>
      <c r="V46" s="164">
        <f t="shared" si="5"/>
        <v>5.771350562761237</v>
      </c>
      <c r="W46" s="164">
        <f t="shared" si="6"/>
        <v>100940.92134269403</v>
      </c>
      <c r="Y46" s="165"/>
    </row>
    <row r="47" spans="2:25" ht="15">
      <c r="B47" s="113" t="s">
        <v>307</v>
      </c>
      <c r="C47" s="127" t="s">
        <v>135</v>
      </c>
      <c r="E47" s="219">
        <v>3439.5</v>
      </c>
      <c r="F47" s="219">
        <v>1462.5</v>
      </c>
      <c r="G47" s="220">
        <v>3105</v>
      </c>
      <c r="H47" s="223">
        <f t="shared" si="0"/>
        <v>8007</v>
      </c>
      <c r="J47" s="163">
        <f t="shared" si="1"/>
        <v>4.915526586568746</v>
      </c>
      <c r="K47" s="23">
        <f t="shared" si="7"/>
        <v>39358.62137865595</v>
      </c>
      <c r="M47">
        <v>0.12149999999999998</v>
      </c>
      <c r="N47" s="104">
        <f t="shared" si="8"/>
        <v>972.8504999999999</v>
      </c>
      <c r="O47" s="21">
        <f t="shared" si="9"/>
        <v>1789.161704342234</v>
      </c>
      <c r="P47" s="21">
        <f t="shared" si="2"/>
        <v>0.2234496945600392</v>
      </c>
      <c r="R47" s="287" t="str">
        <f t="shared" si="3"/>
        <v>N</v>
      </c>
      <c r="S47" s="23">
        <f t="shared" si="10"/>
        <v>0</v>
      </c>
      <c r="T47" s="23">
        <f t="shared" si="4"/>
        <v>0</v>
      </c>
      <c r="V47" s="164">
        <f t="shared" si="5"/>
        <v>5.138976281128786</v>
      </c>
      <c r="W47" s="164">
        <f t="shared" si="6"/>
        <v>41147.78308299819</v>
      </c>
      <c r="Y47" s="165"/>
    </row>
    <row r="48" spans="2:25" ht="15">
      <c r="B48" s="113" t="s">
        <v>308</v>
      </c>
      <c r="C48" s="127" t="s">
        <v>135</v>
      </c>
      <c r="E48" s="219">
        <v>585</v>
      </c>
      <c r="F48" s="219">
        <v>390</v>
      </c>
      <c r="G48" s="220">
        <v>540</v>
      </c>
      <c r="H48" s="223">
        <f t="shared" si="0"/>
        <v>1515</v>
      </c>
      <c r="J48" s="163">
        <f t="shared" si="1"/>
        <v>4.915526586568746</v>
      </c>
      <c r="K48" s="23">
        <f t="shared" si="7"/>
        <v>7447.022778651651</v>
      </c>
      <c r="M48">
        <v>0.08833333333333333</v>
      </c>
      <c r="N48" s="104">
        <f t="shared" si="8"/>
        <v>133.825</v>
      </c>
      <c r="O48" s="21">
        <f t="shared" si="9"/>
        <v>246.11650513989505</v>
      </c>
      <c r="P48" s="21">
        <f t="shared" si="2"/>
        <v>0.16245313870620134</v>
      </c>
      <c r="R48" s="287" t="str">
        <f t="shared" si="3"/>
        <v>N</v>
      </c>
      <c r="S48" s="23">
        <f t="shared" si="10"/>
        <v>0</v>
      </c>
      <c r="T48" s="23">
        <f t="shared" si="4"/>
        <v>0</v>
      </c>
      <c r="V48" s="164">
        <f t="shared" si="5"/>
        <v>5.077979725274948</v>
      </c>
      <c r="W48" s="164">
        <f t="shared" si="6"/>
        <v>7693.1392837915455</v>
      </c>
      <c r="Y48" s="165"/>
    </row>
    <row r="49" spans="2:25" ht="15">
      <c r="B49" t="s">
        <v>309</v>
      </c>
      <c r="C49" s="127" t="s">
        <v>135</v>
      </c>
      <c r="E49" s="219">
        <v>0</v>
      </c>
      <c r="F49" s="219">
        <v>0</v>
      </c>
      <c r="G49" s="220">
        <v>180</v>
      </c>
      <c r="H49" s="223">
        <f t="shared" si="0"/>
        <v>180</v>
      </c>
      <c r="J49" s="163">
        <f t="shared" si="1"/>
        <v>4.915526586568746</v>
      </c>
      <c r="K49" s="23">
        <f t="shared" si="7"/>
        <v>884.7947855823743</v>
      </c>
      <c r="M49">
        <v>0.343</v>
      </c>
      <c r="N49" s="104">
        <f t="shared" si="8"/>
        <v>61.74</v>
      </c>
      <c r="O49" s="21">
        <f t="shared" si="9"/>
        <v>113.54554849495328</v>
      </c>
      <c r="P49" s="21">
        <f t="shared" si="2"/>
        <v>0.6308086027497405</v>
      </c>
      <c r="R49" s="287" t="str">
        <f t="shared" si="3"/>
        <v>Y</v>
      </c>
      <c r="S49" s="23">
        <f t="shared" si="10"/>
        <v>0.30354460766261576</v>
      </c>
      <c r="T49" s="23">
        <f t="shared" si="4"/>
        <v>54.63802937927084</v>
      </c>
      <c r="V49" s="164">
        <f t="shared" si="5"/>
        <v>5.849879796981103</v>
      </c>
      <c r="W49" s="164">
        <f t="shared" si="6"/>
        <v>1052.9783634565983</v>
      </c>
      <c r="Y49" s="165"/>
    </row>
    <row r="50" spans="2:25" ht="15">
      <c r="B50" t="s">
        <v>310</v>
      </c>
      <c r="C50" s="127" t="s">
        <v>135</v>
      </c>
      <c r="E50" s="219">
        <v>2916</v>
      </c>
      <c r="F50" s="219">
        <v>780</v>
      </c>
      <c r="G50" s="220">
        <v>2646</v>
      </c>
      <c r="H50" s="223">
        <f t="shared" si="0"/>
        <v>6342</v>
      </c>
      <c r="J50" s="163">
        <f t="shared" si="1"/>
        <v>4.915526586568746</v>
      </c>
      <c r="K50" s="23">
        <f t="shared" si="7"/>
        <v>31174.26961201899</v>
      </c>
      <c r="M50">
        <v>0.2966315789473684</v>
      </c>
      <c r="N50" s="104">
        <f t="shared" si="8"/>
        <v>1881.2374736842105</v>
      </c>
      <c r="O50" s="21">
        <f t="shared" si="9"/>
        <v>3459.7690443591496</v>
      </c>
      <c r="P50" s="21">
        <f t="shared" si="2"/>
        <v>0.545532804219355</v>
      </c>
      <c r="R50" s="287" t="str">
        <f t="shared" si="3"/>
        <v>Y</v>
      </c>
      <c r="S50" s="23">
        <f t="shared" si="10"/>
        <v>0.30354460766261576</v>
      </c>
      <c r="T50" s="23">
        <f t="shared" si="4"/>
        <v>1925.079901796309</v>
      </c>
      <c r="V50" s="164">
        <f t="shared" si="5"/>
        <v>5.764603998450717</v>
      </c>
      <c r="W50" s="164">
        <f t="shared" si="6"/>
        <v>36559.11855817445</v>
      </c>
      <c r="Y50" s="165"/>
    </row>
    <row r="51" spans="2:25" ht="15">
      <c r="B51" s="4" t="s">
        <v>311</v>
      </c>
      <c r="C51" s="128" t="s">
        <v>135</v>
      </c>
      <c r="D51" s="93"/>
      <c r="E51" s="219">
        <v>195</v>
      </c>
      <c r="F51" s="219">
        <v>0</v>
      </c>
      <c r="G51" s="220">
        <v>180</v>
      </c>
      <c r="H51" s="288">
        <f t="shared" si="0"/>
        <v>375</v>
      </c>
      <c r="I51" s="171"/>
      <c r="J51" s="163">
        <f t="shared" si="1"/>
        <v>4.915526586568746</v>
      </c>
      <c r="K51" s="135">
        <f t="shared" si="7"/>
        <v>1843.32246996328</v>
      </c>
      <c r="L51" s="93"/>
      <c r="M51" s="291">
        <v>0</v>
      </c>
      <c r="N51" s="289">
        <f t="shared" si="8"/>
        <v>0</v>
      </c>
      <c r="O51" s="21">
        <f t="shared" si="9"/>
        <v>0</v>
      </c>
      <c r="P51" s="290">
        <f t="shared" si="2"/>
        <v>0</v>
      </c>
      <c r="Q51" s="93"/>
      <c r="R51" s="291" t="str">
        <f t="shared" si="3"/>
        <v>N</v>
      </c>
      <c r="S51" s="23">
        <f t="shared" si="10"/>
        <v>0</v>
      </c>
      <c r="T51" s="23">
        <f t="shared" si="4"/>
        <v>0</v>
      </c>
      <c r="U51" s="93"/>
      <c r="V51" s="292">
        <f t="shared" si="5"/>
        <v>4.915526586568746</v>
      </c>
      <c r="W51" s="292">
        <f t="shared" si="6"/>
        <v>1843.32246996328</v>
      </c>
      <c r="X51" s="93"/>
      <c r="Y51" s="293"/>
    </row>
    <row r="52" spans="2:25" ht="15">
      <c r="B52" s="166" t="s">
        <v>312</v>
      </c>
      <c r="C52" s="127" t="s">
        <v>135</v>
      </c>
      <c r="E52" s="219">
        <v>0</v>
      </c>
      <c r="F52" s="219">
        <v>195</v>
      </c>
      <c r="G52" s="220">
        <v>180</v>
      </c>
      <c r="H52" s="223">
        <f t="shared" si="0"/>
        <v>375</v>
      </c>
      <c r="J52" s="163">
        <f t="shared" si="1"/>
        <v>4.915526586568746</v>
      </c>
      <c r="K52" s="23">
        <f t="shared" si="7"/>
        <v>1843.32246996328</v>
      </c>
      <c r="M52" s="287">
        <v>0</v>
      </c>
      <c r="N52" s="104">
        <f t="shared" si="8"/>
        <v>0</v>
      </c>
      <c r="O52" s="21">
        <f t="shared" si="9"/>
        <v>0</v>
      </c>
      <c r="P52" s="21">
        <f t="shared" si="2"/>
        <v>0</v>
      </c>
      <c r="R52" s="287" t="str">
        <f t="shared" si="3"/>
        <v>N</v>
      </c>
      <c r="S52" s="23">
        <f t="shared" si="10"/>
        <v>0</v>
      </c>
      <c r="T52" s="23">
        <f t="shared" si="4"/>
        <v>0</v>
      </c>
      <c r="V52" s="164">
        <f t="shared" si="5"/>
        <v>4.915526586568746</v>
      </c>
      <c r="W52" s="164">
        <f t="shared" si="6"/>
        <v>1843.32246996328</v>
      </c>
      <c r="Y52" s="165"/>
    </row>
    <row r="53" spans="2:25" ht="15.75" customHeight="1">
      <c r="B53" t="s">
        <v>313</v>
      </c>
      <c r="C53" s="127" t="s">
        <v>135</v>
      </c>
      <c r="E53" s="219">
        <v>0</v>
      </c>
      <c r="F53" s="219">
        <v>0</v>
      </c>
      <c r="G53" s="220">
        <v>324</v>
      </c>
      <c r="H53" s="223">
        <f t="shared" si="0"/>
        <v>324</v>
      </c>
      <c r="J53" s="163">
        <f t="shared" si="1"/>
        <v>4.915526586568746</v>
      </c>
      <c r="K53" s="23">
        <f t="shared" si="7"/>
        <v>1592.6306140482739</v>
      </c>
      <c r="M53">
        <v>0.0995</v>
      </c>
      <c r="N53" s="104">
        <f t="shared" si="8"/>
        <v>32.238</v>
      </c>
      <c r="O53" s="21">
        <f t="shared" si="9"/>
        <v>59.28865228993041</v>
      </c>
      <c r="P53" s="21">
        <f t="shared" si="2"/>
        <v>0.1829896675615136</v>
      </c>
      <c r="R53" s="287" t="str">
        <f t="shared" si="3"/>
        <v>N</v>
      </c>
      <c r="S53" s="23">
        <f t="shared" si="10"/>
        <v>0</v>
      </c>
      <c r="T53" s="23">
        <f t="shared" si="4"/>
        <v>0</v>
      </c>
      <c r="V53" s="164">
        <f t="shared" si="5"/>
        <v>5.09851625413026</v>
      </c>
      <c r="W53" s="164">
        <f t="shared" si="6"/>
        <v>1651.9192663382044</v>
      </c>
      <c r="Y53" s="165"/>
    </row>
    <row r="54" spans="2:25" ht="15">
      <c r="B54" t="s">
        <v>314</v>
      </c>
      <c r="C54" s="127" t="s">
        <v>135</v>
      </c>
      <c r="E54" s="219">
        <v>0</v>
      </c>
      <c r="F54" s="219">
        <v>0</v>
      </c>
      <c r="G54" s="220">
        <v>180</v>
      </c>
      <c r="H54" s="223">
        <f t="shared" si="0"/>
        <v>180</v>
      </c>
      <c r="J54" s="163">
        <f t="shared" si="1"/>
        <v>4.915526586568746</v>
      </c>
      <c r="K54" s="23">
        <f t="shared" si="7"/>
        <v>884.7947855823743</v>
      </c>
      <c r="M54">
        <v>0.226</v>
      </c>
      <c r="N54" s="104">
        <f t="shared" si="8"/>
        <v>40.68</v>
      </c>
      <c r="O54" s="21">
        <f t="shared" si="9"/>
        <v>74.81426810454647</v>
      </c>
      <c r="P54" s="21">
        <f t="shared" si="2"/>
        <v>0.41563482280303593</v>
      </c>
      <c r="R54" s="287" t="str">
        <f t="shared" si="3"/>
        <v>N</v>
      </c>
      <c r="S54" s="23">
        <f t="shared" si="10"/>
        <v>0</v>
      </c>
      <c r="T54" s="23">
        <f t="shared" si="4"/>
        <v>0</v>
      </c>
      <c r="V54" s="164">
        <f t="shared" si="5"/>
        <v>5.3311614093717825</v>
      </c>
      <c r="W54" s="164">
        <f t="shared" si="6"/>
        <v>959.6090536869208</v>
      </c>
      <c r="Y54" s="165"/>
    </row>
    <row r="55" spans="2:25" ht="15">
      <c r="B55" s="113" t="s">
        <v>315</v>
      </c>
      <c r="C55" s="127" t="s">
        <v>135</v>
      </c>
      <c r="E55" s="219">
        <v>0</v>
      </c>
      <c r="F55" s="219">
        <v>195</v>
      </c>
      <c r="G55" s="220">
        <v>360</v>
      </c>
      <c r="H55" s="223">
        <f t="shared" si="0"/>
        <v>555</v>
      </c>
      <c r="J55" s="163">
        <f t="shared" si="1"/>
        <v>4.915526586568746</v>
      </c>
      <c r="K55" s="23">
        <f t="shared" si="7"/>
        <v>2728.117255545654</v>
      </c>
      <c r="M55">
        <v>0.194</v>
      </c>
      <c r="N55" s="104">
        <f t="shared" si="8"/>
        <v>107.67</v>
      </c>
      <c r="O55" s="21">
        <f t="shared" si="9"/>
        <v>198.015050315057</v>
      </c>
      <c r="P55" s="21">
        <f t="shared" si="2"/>
        <v>0.35678387444154414</v>
      </c>
      <c r="R55" s="287" t="str">
        <f t="shared" si="3"/>
        <v>N</v>
      </c>
      <c r="S55" s="23">
        <f t="shared" si="10"/>
        <v>0</v>
      </c>
      <c r="T55" s="23">
        <f t="shared" si="4"/>
        <v>0</v>
      </c>
      <c r="V55" s="164">
        <f t="shared" si="5"/>
        <v>5.27231046101029</v>
      </c>
      <c r="W55" s="164">
        <f t="shared" si="6"/>
        <v>2926.1323058607113</v>
      </c>
      <c r="X55" s="93"/>
      <c r="Y55" s="293"/>
    </row>
    <row r="56" spans="2:25" ht="15">
      <c r="B56" s="113" t="s">
        <v>316</v>
      </c>
      <c r="C56" s="127" t="s">
        <v>135</v>
      </c>
      <c r="E56" s="219">
        <v>390</v>
      </c>
      <c r="F56" s="219">
        <v>195</v>
      </c>
      <c r="G56" s="220">
        <v>360</v>
      </c>
      <c r="H56" s="223">
        <f t="shared" si="0"/>
        <v>945</v>
      </c>
      <c r="J56" s="163">
        <f t="shared" si="1"/>
        <v>4.915526586568746</v>
      </c>
      <c r="K56" s="23">
        <f t="shared" si="7"/>
        <v>4645.172624307465</v>
      </c>
      <c r="M56">
        <v>0.261</v>
      </c>
      <c r="N56" s="104">
        <f t="shared" si="8"/>
        <v>246.645</v>
      </c>
      <c r="O56" s="21">
        <f t="shared" si="9"/>
        <v>453.6028799568797</v>
      </c>
      <c r="P56" s="21">
        <f t="shared" si="2"/>
        <v>0.48000304757341766</v>
      </c>
      <c r="R56" s="287" t="str">
        <f t="shared" si="3"/>
        <v>Y</v>
      </c>
      <c r="S56" s="23">
        <f t="shared" si="10"/>
        <v>0.30354460766261576</v>
      </c>
      <c r="T56" s="23">
        <f t="shared" si="4"/>
        <v>286.8496542411719</v>
      </c>
      <c r="V56" s="164">
        <f t="shared" si="5"/>
        <v>5.69907424180478</v>
      </c>
      <c r="W56" s="164">
        <f t="shared" si="6"/>
        <v>5385.625158505517</v>
      </c>
      <c r="X56" s="93"/>
      <c r="Y56" s="293"/>
    </row>
    <row r="57" spans="2:25" ht="15">
      <c r="B57" s="166" t="s">
        <v>317</v>
      </c>
      <c r="C57" s="127" t="s">
        <v>135</v>
      </c>
      <c r="E57" s="219">
        <v>510</v>
      </c>
      <c r="F57" s="219">
        <v>195</v>
      </c>
      <c r="G57" s="220">
        <v>720</v>
      </c>
      <c r="H57" s="223">
        <f t="shared" si="0"/>
        <v>1425</v>
      </c>
      <c r="J57" s="163">
        <f t="shared" si="1"/>
        <v>4.915526586568746</v>
      </c>
      <c r="K57" s="23">
        <f t="shared" si="7"/>
        <v>7004.625385860463</v>
      </c>
      <c r="M57" s="287">
        <v>0</v>
      </c>
      <c r="N57" s="104">
        <f t="shared" si="8"/>
        <v>0</v>
      </c>
      <c r="O57" s="21">
        <f t="shared" si="9"/>
        <v>0</v>
      </c>
      <c r="P57" s="21">
        <f t="shared" si="2"/>
        <v>0</v>
      </c>
      <c r="R57" s="287" t="str">
        <f t="shared" si="3"/>
        <v>N</v>
      </c>
      <c r="S57" s="23">
        <f t="shared" si="10"/>
        <v>0</v>
      </c>
      <c r="T57" s="23">
        <f t="shared" si="4"/>
        <v>0</v>
      </c>
      <c r="V57" s="164">
        <f t="shared" si="5"/>
        <v>4.915526586568746</v>
      </c>
      <c r="W57" s="164">
        <f t="shared" si="6"/>
        <v>7004.625385860463</v>
      </c>
      <c r="X57" s="93"/>
      <c r="Y57" s="293"/>
    </row>
    <row r="58" spans="2:25" ht="15">
      <c r="B58" t="s">
        <v>318</v>
      </c>
      <c r="C58" s="127" t="s">
        <v>135</v>
      </c>
      <c r="E58" s="219">
        <v>0</v>
      </c>
      <c r="F58" s="219">
        <v>0</v>
      </c>
      <c r="G58" s="220">
        <v>180</v>
      </c>
      <c r="H58" s="223">
        <f t="shared" si="0"/>
        <v>180</v>
      </c>
      <c r="J58" s="163">
        <f t="shared" si="1"/>
        <v>4.915526586568746</v>
      </c>
      <c r="K58" s="23">
        <f t="shared" si="7"/>
        <v>884.7947855823743</v>
      </c>
      <c r="M58">
        <v>0.207</v>
      </c>
      <c r="N58" s="104">
        <f t="shared" si="8"/>
        <v>37.26</v>
      </c>
      <c r="O58" s="21">
        <f t="shared" si="9"/>
        <v>68.52457299841203</v>
      </c>
      <c r="P58" s="21">
        <f t="shared" si="2"/>
        <v>0.3806920722134001</v>
      </c>
      <c r="R58" s="287" t="str">
        <f t="shared" si="3"/>
        <v>N</v>
      </c>
      <c r="S58" s="23">
        <f t="shared" si="10"/>
        <v>0</v>
      </c>
      <c r="T58" s="23">
        <f t="shared" si="4"/>
        <v>0</v>
      </c>
      <c r="V58" s="164">
        <f t="shared" si="5"/>
        <v>5.296218658782147</v>
      </c>
      <c r="W58" s="164">
        <f t="shared" si="6"/>
        <v>953.3193585807863</v>
      </c>
      <c r="X58" s="93"/>
      <c r="Y58" s="293"/>
    </row>
    <row r="59" spans="2:25" ht="15">
      <c r="B59" t="s">
        <v>319</v>
      </c>
      <c r="C59" s="127" t="s">
        <v>135</v>
      </c>
      <c r="E59" s="219">
        <v>300</v>
      </c>
      <c r="F59" s="219">
        <v>390</v>
      </c>
      <c r="G59" s="220">
        <v>1875</v>
      </c>
      <c r="H59" s="223">
        <f t="shared" si="0"/>
        <v>2565</v>
      </c>
      <c r="J59" s="163">
        <f t="shared" si="1"/>
        <v>4.915526586568746</v>
      </c>
      <c r="K59" s="23">
        <f t="shared" si="7"/>
        <v>12608.325694548834</v>
      </c>
      <c r="M59">
        <v>0.2016</v>
      </c>
      <c r="N59" s="104">
        <f t="shared" si="8"/>
        <v>517.104</v>
      </c>
      <c r="O59" s="21">
        <f t="shared" si="9"/>
        <v>951.0019000475271</v>
      </c>
      <c r="P59" s="21">
        <f t="shared" si="2"/>
        <v>0.3707609746773985</v>
      </c>
      <c r="R59" s="287" t="str">
        <f t="shared" si="3"/>
        <v>N</v>
      </c>
      <c r="S59" s="23">
        <f t="shared" si="10"/>
        <v>0</v>
      </c>
      <c r="T59" s="23">
        <f t="shared" si="4"/>
        <v>0</v>
      </c>
      <c r="V59" s="164">
        <f t="shared" si="5"/>
        <v>5.286287561246144</v>
      </c>
      <c r="W59" s="164">
        <f t="shared" si="6"/>
        <v>13559.327594596361</v>
      </c>
      <c r="X59" s="93"/>
      <c r="Y59" s="293"/>
    </row>
    <row r="60" spans="2:25" ht="15">
      <c r="B60" t="s">
        <v>320</v>
      </c>
      <c r="C60" s="127" t="s">
        <v>135</v>
      </c>
      <c r="E60" s="219">
        <v>6570</v>
      </c>
      <c r="F60" s="219">
        <v>2170</v>
      </c>
      <c r="G60" s="220">
        <v>5580</v>
      </c>
      <c r="H60" s="223">
        <f t="shared" si="0"/>
        <v>14320</v>
      </c>
      <c r="J60" s="163">
        <f t="shared" si="1"/>
        <v>4.915526586568746</v>
      </c>
      <c r="K60" s="23">
        <f t="shared" si="7"/>
        <v>70390.34071966444</v>
      </c>
      <c r="M60">
        <v>0.2832</v>
      </c>
      <c r="N60" s="104">
        <f t="shared" si="8"/>
        <v>4055.424</v>
      </c>
      <c r="O60" s="21">
        <f t="shared" si="9"/>
        <v>7458.298387748581</v>
      </c>
      <c r="P60" s="21">
        <f t="shared" si="2"/>
        <v>0.5208308929992026</v>
      </c>
      <c r="R60" s="287" t="str">
        <f t="shared" si="3"/>
        <v>Y</v>
      </c>
      <c r="S60" s="23">
        <f t="shared" si="10"/>
        <v>0.30354460766261576</v>
      </c>
      <c r="T60" s="23">
        <f t="shared" si="4"/>
        <v>4346.758781728658</v>
      </c>
      <c r="V60" s="164">
        <f t="shared" si="5"/>
        <v>5.739902087230565</v>
      </c>
      <c r="W60" s="164">
        <f t="shared" si="6"/>
        <v>82195.39788914168</v>
      </c>
      <c r="X60" s="93"/>
      <c r="Y60" s="293"/>
    </row>
    <row r="61" spans="2:25" ht="15">
      <c r="B61" s="113" t="s">
        <v>321</v>
      </c>
      <c r="C61" s="127" t="s">
        <v>135</v>
      </c>
      <c r="E61" s="219">
        <v>6700</v>
      </c>
      <c r="F61" s="219">
        <v>3000</v>
      </c>
      <c r="G61" s="220">
        <v>4680</v>
      </c>
      <c r="H61" s="223">
        <f t="shared" si="0"/>
        <v>14380</v>
      </c>
      <c r="J61" s="163">
        <f t="shared" si="1"/>
        <v>4.915526586568746</v>
      </c>
      <c r="K61" s="23">
        <f t="shared" si="7"/>
        <v>70685.27231485856</v>
      </c>
      <c r="M61">
        <v>0.27042307692307693</v>
      </c>
      <c r="N61" s="104">
        <f t="shared" si="8"/>
        <v>3888.6838461538464</v>
      </c>
      <c r="O61" s="21">
        <f t="shared" si="9"/>
        <v>7151.647882005232</v>
      </c>
      <c r="P61" s="21">
        <f t="shared" si="2"/>
        <v>0.4973329542423666</v>
      </c>
      <c r="R61" s="287" t="str">
        <f t="shared" si="3"/>
        <v>Y</v>
      </c>
      <c r="S61" s="23">
        <f t="shared" si="10"/>
        <v>0.30354460766261576</v>
      </c>
      <c r="T61" s="23">
        <f t="shared" si="4"/>
        <v>4364.9714581884145</v>
      </c>
      <c r="V61" s="164">
        <f t="shared" si="5"/>
        <v>5.716404148473729</v>
      </c>
      <c r="W61" s="164">
        <f t="shared" si="6"/>
        <v>82201.89165505221</v>
      </c>
      <c r="X61" s="93"/>
      <c r="Y61" s="293"/>
    </row>
    <row r="62" spans="2:25" ht="15">
      <c r="B62" s="113" t="s">
        <v>322</v>
      </c>
      <c r="C62" s="127" t="s">
        <v>135</v>
      </c>
      <c r="E62" s="219">
        <v>11010</v>
      </c>
      <c r="F62" s="219">
        <v>4855</v>
      </c>
      <c r="G62" s="220">
        <v>8610</v>
      </c>
      <c r="H62" s="223">
        <f t="shared" si="0"/>
        <v>24475</v>
      </c>
      <c r="J62" s="163">
        <f t="shared" si="1"/>
        <v>4.915526586568746</v>
      </c>
      <c r="K62" s="23">
        <f t="shared" si="7"/>
        <v>120307.51320627007</v>
      </c>
      <c r="M62">
        <v>0.2830980392156864</v>
      </c>
      <c r="N62" s="104">
        <f t="shared" si="8"/>
        <v>6928.824509803924</v>
      </c>
      <c r="O62" s="21">
        <f t="shared" si="9"/>
        <v>12742.746669759676</v>
      </c>
      <c r="P62" s="21">
        <f t="shared" si="2"/>
        <v>0.5206433777225608</v>
      </c>
      <c r="R62" s="287" t="str">
        <f t="shared" si="3"/>
        <v>Y</v>
      </c>
      <c r="S62" s="23">
        <f t="shared" si="10"/>
        <v>0.30354460766261576</v>
      </c>
      <c r="T62" s="23">
        <f t="shared" si="4"/>
        <v>7429.254272542521</v>
      </c>
      <c r="V62" s="164">
        <f t="shared" si="5"/>
        <v>5.739714571953923</v>
      </c>
      <c r="W62" s="164">
        <f t="shared" si="6"/>
        <v>140479.51414857229</v>
      </c>
      <c r="X62" s="93"/>
      <c r="Y62" s="293"/>
    </row>
    <row r="63" spans="2:25" ht="15">
      <c r="B63" s="113" t="s">
        <v>323</v>
      </c>
      <c r="C63" s="127" t="s">
        <v>135</v>
      </c>
      <c r="E63" s="219">
        <v>4650</v>
      </c>
      <c r="F63" s="219">
        <v>780</v>
      </c>
      <c r="G63" s="220">
        <v>2070</v>
      </c>
      <c r="H63" s="223">
        <f t="shared" si="0"/>
        <v>7500</v>
      </c>
      <c r="J63" s="163">
        <f t="shared" si="1"/>
        <v>4.915526586568746</v>
      </c>
      <c r="K63" s="23">
        <f t="shared" si="7"/>
        <v>36866.4493992656</v>
      </c>
      <c r="M63">
        <v>0.2011666666666667</v>
      </c>
      <c r="N63" s="104">
        <f t="shared" si="8"/>
        <v>1508.7500000000002</v>
      </c>
      <c r="O63" s="21">
        <f t="shared" si="9"/>
        <v>2774.7302606375247</v>
      </c>
      <c r="P63" s="21">
        <f t="shared" si="2"/>
        <v>0.36996403475166995</v>
      </c>
      <c r="R63" s="287" t="str">
        <f t="shared" si="3"/>
        <v>N</v>
      </c>
      <c r="S63" s="23">
        <f t="shared" si="10"/>
        <v>0</v>
      </c>
      <c r="T63" s="23">
        <f t="shared" si="4"/>
        <v>0</v>
      </c>
      <c r="V63" s="164">
        <f t="shared" si="5"/>
        <v>5.285490621320417</v>
      </c>
      <c r="W63" s="164">
        <f t="shared" si="6"/>
        <v>39641.17965990312</v>
      </c>
      <c r="X63" s="93"/>
      <c r="Y63" s="293"/>
    </row>
    <row r="64" spans="2:25" ht="15">
      <c r="B64" s="113" t="s">
        <v>324</v>
      </c>
      <c r="C64" s="127" t="s">
        <v>135</v>
      </c>
      <c r="E64" s="219">
        <v>0</v>
      </c>
      <c r="F64" s="219">
        <v>195</v>
      </c>
      <c r="G64" s="220">
        <v>360</v>
      </c>
      <c r="H64" s="223">
        <f t="shared" si="0"/>
        <v>555</v>
      </c>
      <c r="J64" s="163">
        <f t="shared" si="1"/>
        <v>4.915526586568746</v>
      </c>
      <c r="K64" s="23">
        <f t="shared" si="7"/>
        <v>2728.117255545654</v>
      </c>
      <c r="M64" s="287">
        <v>0.2</v>
      </c>
      <c r="N64" s="104">
        <f t="shared" si="8"/>
        <v>111</v>
      </c>
      <c r="O64" s="21">
        <f t="shared" si="9"/>
        <v>204.13922712892474</v>
      </c>
      <c r="P64" s="21">
        <f t="shared" si="2"/>
        <v>0.36781842725932384</v>
      </c>
      <c r="R64" s="287" t="str">
        <f t="shared" si="3"/>
        <v>N</v>
      </c>
      <c r="S64" s="23">
        <f t="shared" si="10"/>
        <v>0</v>
      </c>
      <c r="T64" s="23">
        <f t="shared" si="4"/>
        <v>0</v>
      </c>
      <c r="V64" s="164">
        <f t="shared" si="5"/>
        <v>5.28334501382807</v>
      </c>
      <c r="W64" s="164">
        <f t="shared" si="6"/>
        <v>2932.256482674579</v>
      </c>
      <c r="X64" s="93"/>
      <c r="Y64" s="293"/>
    </row>
    <row r="65" spans="2:25" ht="15">
      <c r="B65" s="294" t="s">
        <v>325</v>
      </c>
      <c r="C65" s="127" t="s">
        <v>135</v>
      </c>
      <c r="D65" s="93"/>
      <c r="E65" s="219">
        <v>1560</v>
      </c>
      <c r="F65" s="219">
        <v>1950</v>
      </c>
      <c r="G65" s="220">
        <v>1980</v>
      </c>
      <c r="H65" s="288">
        <f t="shared" si="0"/>
        <v>5490</v>
      </c>
      <c r="I65" s="171"/>
      <c r="J65" s="163">
        <f t="shared" si="1"/>
        <v>4.915526586568746</v>
      </c>
      <c r="K65" s="23">
        <f t="shared" si="7"/>
        <v>26986.240960262418</v>
      </c>
      <c r="L65" s="93"/>
      <c r="M65">
        <v>0.1196</v>
      </c>
      <c r="N65" s="104">
        <f t="shared" si="8"/>
        <v>656.604</v>
      </c>
      <c r="O65" s="21">
        <f t="shared" si="9"/>
        <v>1207.5552530609054</v>
      </c>
      <c r="P65" s="21">
        <f t="shared" si="2"/>
        <v>0.21995541950107567</v>
      </c>
      <c r="Q65" s="93"/>
      <c r="R65" s="287" t="str">
        <f t="shared" si="3"/>
        <v>N</v>
      </c>
      <c r="S65" s="23">
        <f t="shared" si="10"/>
        <v>0</v>
      </c>
      <c r="T65" s="23">
        <f t="shared" si="4"/>
        <v>0</v>
      </c>
      <c r="U65" s="93"/>
      <c r="V65" s="164">
        <f t="shared" si="5"/>
        <v>5.135482006069822</v>
      </c>
      <c r="W65" s="164">
        <f t="shared" si="6"/>
        <v>28193.796213323323</v>
      </c>
      <c r="X65" s="93"/>
      <c r="Y65" s="293"/>
    </row>
    <row r="66" spans="2:25" ht="15">
      <c r="B66" s="4" t="s">
        <v>326</v>
      </c>
      <c r="C66" s="127" t="s">
        <v>135</v>
      </c>
      <c r="D66" s="93"/>
      <c r="E66" s="219">
        <v>4260</v>
      </c>
      <c r="F66" s="219">
        <v>1875</v>
      </c>
      <c r="G66" s="220">
        <v>3060</v>
      </c>
      <c r="H66" s="288">
        <f t="shared" si="0"/>
        <v>9195</v>
      </c>
      <c r="I66" s="171"/>
      <c r="J66" s="163">
        <f t="shared" si="1"/>
        <v>4.915526586568746</v>
      </c>
      <c r="K66" s="23">
        <f t="shared" si="7"/>
        <v>45198.26696349962</v>
      </c>
      <c r="L66" s="93"/>
      <c r="M66">
        <v>0.21782352941176472</v>
      </c>
      <c r="N66" s="104">
        <f t="shared" si="8"/>
        <v>2002.8873529411767</v>
      </c>
      <c r="O66" s="21">
        <f t="shared" si="9"/>
        <v>3683.4943806820697</v>
      </c>
      <c r="P66" s="21">
        <f t="shared" si="2"/>
        <v>0.4005975400415519</v>
      </c>
      <c r="Q66" s="93"/>
      <c r="R66" s="287" t="str">
        <f t="shared" si="3"/>
        <v>N</v>
      </c>
      <c r="S66" s="23">
        <f t="shared" si="10"/>
        <v>0</v>
      </c>
      <c r="T66" s="23">
        <f t="shared" si="4"/>
        <v>0</v>
      </c>
      <c r="U66" s="93"/>
      <c r="V66" s="164">
        <f t="shared" si="5"/>
        <v>5.3161241266102985</v>
      </c>
      <c r="W66" s="164">
        <f t="shared" si="6"/>
        <v>48881.76134418169</v>
      </c>
      <c r="X66" s="93"/>
      <c r="Y66" s="293"/>
    </row>
    <row r="67" spans="2:25" ht="15">
      <c r="B67" s="294" t="s">
        <v>327</v>
      </c>
      <c r="C67" s="127" t="s">
        <v>135</v>
      </c>
      <c r="D67" s="93"/>
      <c r="E67" s="219">
        <v>1833</v>
      </c>
      <c r="F67" s="219">
        <v>900</v>
      </c>
      <c r="G67" s="220">
        <v>2340</v>
      </c>
      <c r="H67" s="288">
        <f t="shared" si="0"/>
        <v>5073</v>
      </c>
      <c r="I67" s="171"/>
      <c r="J67" s="163">
        <f t="shared" si="1"/>
        <v>4.915526586568746</v>
      </c>
      <c r="K67" s="23">
        <f t="shared" si="7"/>
        <v>24936.46637366325</v>
      </c>
      <c r="L67" s="93"/>
      <c r="M67">
        <v>0.23707692307692307</v>
      </c>
      <c r="N67" s="104">
        <f t="shared" si="8"/>
        <v>1202.6912307692307</v>
      </c>
      <c r="O67" s="21">
        <f t="shared" si="9"/>
        <v>2211.859984900595</v>
      </c>
      <c r="P67" s="21">
        <f t="shared" si="2"/>
        <v>0.4360063049281678</v>
      </c>
      <c r="Q67" s="93"/>
      <c r="R67" s="287" t="str">
        <f t="shared" si="3"/>
        <v>N</v>
      </c>
      <c r="S67" s="23">
        <f t="shared" si="10"/>
        <v>0</v>
      </c>
      <c r="T67" s="23">
        <f t="shared" si="4"/>
        <v>0</v>
      </c>
      <c r="U67" s="93"/>
      <c r="V67" s="164">
        <f t="shared" si="5"/>
        <v>5.351532891496914</v>
      </c>
      <c r="W67" s="164">
        <f t="shared" si="6"/>
        <v>27148.326358563845</v>
      </c>
      <c r="X67" s="93"/>
      <c r="Y67" s="293"/>
    </row>
    <row r="68" spans="2:25" ht="15">
      <c r="B68" s="294" t="s">
        <v>328</v>
      </c>
      <c r="C68" s="127" t="s">
        <v>135</v>
      </c>
      <c r="D68" s="93"/>
      <c r="E68" s="219">
        <v>195</v>
      </c>
      <c r="F68" s="219">
        <v>390</v>
      </c>
      <c r="G68" s="220">
        <v>360</v>
      </c>
      <c r="H68" s="288">
        <f t="shared" si="0"/>
        <v>945</v>
      </c>
      <c r="I68" s="171"/>
      <c r="J68" s="163">
        <f t="shared" si="1"/>
        <v>4.915526586568746</v>
      </c>
      <c r="K68" s="23">
        <f t="shared" si="7"/>
        <v>4645.172624307465</v>
      </c>
      <c r="L68" s="93"/>
      <c r="M68">
        <v>0.118</v>
      </c>
      <c r="N68" s="104">
        <f t="shared" si="8"/>
        <v>111.50999999999999</v>
      </c>
      <c r="O68" s="21">
        <f t="shared" si="9"/>
        <v>205.077164118436</v>
      </c>
      <c r="P68" s="21">
        <f t="shared" si="2"/>
        <v>0.21701287208300107</v>
      </c>
      <c r="Q68" s="93"/>
      <c r="R68" s="287" t="str">
        <f t="shared" si="3"/>
        <v>N</v>
      </c>
      <c r="S68" s="23">
        <f t="shared" si="10"/>
        <v>0</v>
      </c>
      <c r="T68" s="23">
        <f t="shared" si="4"/>
        <v>0</v>
      </c>
      <c r="U68" s="93"/>
      <c r="V68" s="164">
        <f t="shared" si="5"/>
        <v>5.132539458651747</v>
      </c>
      <c r="W68" s="164">
        <f t="shared" si="6"/>
        <v>4850.249788425901</v>
      </c>
      <c r="X68" s="93"/>
      <c r="Y68" s="293"/>
    </row>
    <row r="69" spans="2:25" ht="15">
      <c r="B69" s="294" t="s">
        <v>329</v>
      </c>
      <c r="C69" s="127" t="s">
        <v>135</v>
      </c>
      <c r="D69" s="93"/>
      <c r="E69" s="219">
        <v>4030</v>
      </c>
      <c r="F69" s="219">
        <v>3510</v>
      </c>
      <c r="G69" s="220">
        <v>3780</v>
      </c>
      <c r="H69" s="288">
        <f t="shared" si="0"/>
        <v>11320</v>
      </c>
      <c r="I69" s="171"/>
      <c r="J69" s="163">
        <f t="shared" si="1"/>
        <v>4.915526586568746</v>
      </c>
      <c r="K69" s="23">
        <f t="shared" si="7"/>
        <v>55643.76095995821</v>
      </c>
      <c r="L69" s="93"/>
      <c r="M69">
        <v>0.14695238095238095</v>
      </c>
      <c r="N69" s="104">
        <f t="shared" si="8"/>
        <v>1663.5009523809524</v>
      </c>
      <c r="O69" s="21">
        <f t="shared" si="9"/>
        <v>3059.3315202457466</v>
      </c>
      <c r="P69" s="21">
        <f t="shared" si="2"/>
        <v>0.27025896821958895</v>
      </c>
      <c r="Q69" s="93"/>
      <c r="R69" s="287" t="str">
        <f t="shared" si="3"/>
        <v>N</v>
      </c>
      <c r="S69" s="23">
        <f t="shared" si="10"/>
        <v>0</v>
      </c>
      <c r="T69" s="23">
        <f t="shared" si="4"/>
        <v>0</v>
      </c>
      <c r="U69" s="93"/>
      <c r="V69" s="164">
        <f t="shared" si="5"/>
        <v>5.185785554788335</v>
      </c>
      <c r="W69" s="164">
        <f t="shared" si="6"/>
        <v>58703.09248020395</v>
      </c>
      <c r="Y69" s="165"/>
    </row>
    <row r="70" spans="2:25" ht="15">
      <c r="B70" s="294" t="s">
        <v>330</v>
      </c>
      <c r="C70" s="127" t="s">
        <v>135</v>
      </c>
      <c r="D70" s="93"/>
      <c r="E70" s="219">
        <v>3900</v>
      </c>
      <c r="F70" s="219">
        <v>2145</v>
      </c>
      <c r="G70" s="220">
        <v>3060</v>
      </c>
      <c r="H70" s="288">
        <f t="shared" si="0"/>
        <v>9105</v>
      </c>
      <c r="I70" s="171"/>
      <c r="J70" s="163">
        <f t="shared" si="1"/>
        <v>4.915526586568746</v>
      </c>
      <c r="K70" s="23">
        <f t="shared" si="7"/>
        <v>44755.86957070843</v>
      </c>
      <c r="L70" s="93"/>
      <c r="M70">
        <v>0.12263157894736842</v>
      </c>
      <c r="N70" s="104">
        <f t="shared" si="8"/>
        <v>1116.5605263157895</v>
      </c>
      <c r="O70" s="21">
        <f t="shared" si="9"/>
        <v>2053.457683646583</v>
      </c>
      <c r="P70" s="21">
        <f t="shared" si="2"/>
        <v>0.22553077250374334</v>
      </c>
      <c r="Q70" s="93"/>
      <c r="R70" s="287" t="str">
        <f t="shared" si="3"/>
        <v>N</v>
      </c>
      <c r="S70" s="23">
        <f t="shared" si="10"/>
        <v>0</v>
      </c>
      <c r="T70" s="23">
        <f t="shared" si="4"/>
        <v>0</v>
      </c>
      <c r="U70" s="93"/>
      <c r="V70" s="164">
        <f t="shared" si="5"/>
        <v>5.14105735907249</v>
      </c>
      <c r="W70" s="164">
        <f t="shared" si="6"/>
        <v>46809.32725435502</v>
      </c>
      <c r="Y70" s="165"/>
    </row>
    <row r="71" spans="2:25" ht="15">
      <c r="B71" s="294" t="s">
        <v>331</v>
      </c>
      <c r="C71" s="127" t="s">
        <v>135</v>
      </c>
      <c r="D71" s="93"/>
      <c r="E71" s="219">
        <v>4155</v>
      </c>
      <c r="F71" s="219">
        <v>1500</v>
      </c>
      <c r="G71" s="220">
        <v>2760</v>
      </c>
      <c r="H71" s="288">
        <f t="shared" si="0"/>
        <v>8415</v>
      </c>
      <c r="I71" s="171"/>
      <c r="J71" s="163">
        <f t="shared" si="1"/>
        <v>4.915526586568746</v>
      </c>
      <c r="K71" s="23">
        <f t="shared" si="7"/>
        <v>41364.156225976</v>
      </c>
      <c r="L71" s="93"/>
      <c r="M71">
        <v>0.2625625</v>
      </c>
      <c r="N71" s="104">
        <f t="shared" si="8"/>
        <v>2209.4634374999996</v>
      </c>
      <c r="O71" s="21">
        <f t="shared" si="9"/>
        <v>4063.406833341146</v>
      </c>
      <c r="P71" s="21">
        <f t="shared" si="2"/>
        <v>0.482876629036381</v>
      </c>
      <c r="Q71" s="93"/>
      <c r="R71" s="287" t="str">
        <f t="shared" si="3"/>
        <v>Y</v>
      </c>
      <c r="S71" s="23">
        <f t="shared" si="10"/>
        <v>0.30354460766261576</v>
      </c>
      <c r="T71" s="23">
        <f t="shared" si="4"/>
        <v>2554.3278734809114</v>
      </c>
      <c r="U71" s="93"/>
      <c r="V71" s="164">
        <f t="shared" si="5"/>
        <v>5.701947823267743</v>
      </c>
      <c r="W71" s="164">
        <f t="shared" si="6"/>
        <v>47981.89093279806</v>
      </c>
      <c r="Y71" s="165"/>
    </row>
    <row r="72" spans="2:25" ht="15">
      <c r="B72" s="4" t="s">
        <v>332</v>
      </c>
      <c r="C72" s="127" t="s">
        <v>135</v>
      </c>
      <c r="D72" s="93"/>
      <c r="E72" s="219">
        <v>585</v>
      </c>
      <c r="F72" s="219">
        <v>975</v>
      </c>
      <c r="G72" s="220">
        <v>1980</v>
      </c>
      <c r="H72" s="288">
        <f t="shared" si="0"/>
        <v>3540</v>
      </c>
      <c r="I72" s="171"/>
      <c r="J72" s="163">
        <f t="shared" si="1"/>
        <v>4.915526586568746</v>
      </c>
      <c r="K72" s="23">
        <f t="shared" si="7"/>
        <v>17400.96411645336</v>
      </c>
      <c r="L72" s="93"/>
      <c r="M72">
        <v>0.33883333333333326</v>
      </c>
      <c r="N72" s="104">
        <f t="shared" si="8"/>
        <v>1199.4699999999998</v>
      </c>
      <c r="O72" s="21">
        <f t="shared" si="9"/>
        <v>2205.9358447237055</v>
      </c>
      <c r="P72" s="21">
        <f t="shared" si="2"/>
        <v>0.6231457188485043</v>
      </c>
      <c r="Q72" s="93"/>
      <c r="R72" s="287" t="str">
        <f t="shared" si="3"/>
        <v>Y</v>
      </c>
      <c r="S72" s="23">
        <f t="shared" si="10"/>
        <v>0.30354460766261576</v>
      </c>
      <c r="T72" s="23">
        <f t="shared" si="4"/>
        <v>1074.5479111256598</v>
      </c>
      <c r="U72" s="93"/>
      <c r="V72" s="164">
        <f t="shared" si="5"/>
        <v>5.8422169130798665</v>
      </c>
      <c r="W72" s="164">
        <f t="shared" si="6"/>
        <v>20681.447872302728</v>
      </c>
      <c r="Y72" s="165"/>
    </row>
    <row r="73" spans="2:25" ht="15">
      <c r="B73" s="4" t="s">
        <v>333</v>
      </c>
      <c r="C73" s="127" t="s">
        <v>135</v>
      </c>
      <c r="D73" s="93"/>
      <c r="E73" s="219">
        <v>1755</v>
      </c>
      <c r="F73" s="219">
        <v>1170</v>
      </c>
      <c r="G73" s="220">
        <v>1440</v>
      </c>
      <c r="H73" s="288">
        <f aca="true" t="shared" si="11" ref="H73:H136">SUM(E73:G73)</f>
        <v>4365</v>
      </c>
      <c r="I73" s="171"/>
      <c r="J73" s="163">
        <f aca="true" t="shared" si="12" ref="J73:J136">$K$7/SUM($H$9:$H$216)</f>
        <v>4.915526586568746</v>
      </c>
      <c r="K73" s="23">
        <f t="shared" si="7"/>
        <v>21456.273550372578</v>
      </c>
      <c r="L73" s="93"/>
      <c r="M73">
        <v>0.25335714285714284</v>
      </c>
      <c r="N73" s="104">
        <f t="shared" si="8"/>
        <v>1105.9039285714284</v>
      </c>
      <c r="O73" s="21">
        <f t="shared" si="9"/>
        <v>2033.8592185352522</v>
      </c>
      <c r="P73" s="21">
        <f aca="true" t="shared" si="13" ref="P73:P136">_xlfn.IFERROR(O73/H73,0)</f>
        <v>0.46594712910315056</v>
      </c>
      <c r="Q73" s="93"/>
      <c r="R73" s="287" t="str">
        <f aca="true" t="shared" si="14" ref="R73:R136">IF(M73&gt;0.25,"Y","N")</f>
        <v>Y</v>
      </c>
      <c r="S73" s="23">
        <f t="shared" si="10"/>
        <v>0.30354460766261576</v>
      </c>
      <c r="T73" s="23">
        <f aca="true" t="shared" si="15" ref="T73:T136">IF(R73="Y",$T$7*H73,0)</f>
        <v>1324.9722124473178</v>
      </c>
      <c r="U73" s="93"/>
      <c r="V73" s="164">
        <f aca="true" t="shared" si="16" ref="V73:V136">J73+P73+S73</f>
        <v>5.685018323334512</v>
      </c>
      <c r="W73" s="164">
        <f aca="true" t="shared" si="17" ref="W73:W136">T73+O73+K73</f>
        <v>24815.104981355147</v>
      </c>
      <c r="Y73" s="165"/>
    </row>
    <row r="74" spans="2:25" ht="15">
      <c r="B74" t="s">
        <v>334</v>
      </c>
      <c r="C74" s="127" t="s">
        <v>135</v>
      </c>
      <c r="D74" s="93"/>
      <c r="E74" s="219">
        <v>4680</v>
      </c>
      <c r="F74" s="221">
        <v>3315</v>
      </c>
      <c r="G74" s="220">
        <v>2160</v>
      </c>
      <c r="H74" s="288">
        <f t="shared" si="11"/>
        <v>10155</v>
      </c>
      <c r="I74" s="171"/>
      <c r="J74" s="163">
        <f t="shared" si="12"/>
        <v>4.915526586568746</v>
      </c>
      <c r="K74" s="23">
        <f aca="true" t="shared" si="18" ref="K74:K137">J74*H74</f>
        <v>49917.17248660562</v>
      </c>
      <c r="L74" s="93"/>
      <c r="M74">
        <v>0.2686428571428571</v>
      </c>
      <c r="N74" s="104">
        <f aca="true" t="shared" si="19" ref="N74:N137">M74*H74</f>
        <v>2728.068214285714</v>
      </c>
      <c r="O74" s="21">
        <f aca="true" t="shared" si="20" ref="O74:O137">N74*$O$7</f>
        <v>5017.1688001736175</v>
      </c>
      <c r="P74" s="21">
        <f t="shared" si="13"/>
        <v>0.49405896604368466</v>
      </c>
      <c r="Q74" s="93"/>
      <c r="R74" s="287" t="str">
        <f t="shared" si="14"/>
        <v>Y</v>
      </c>
      <c r="S74" s="23">
        <f aca="true" t="shared" si="21" ref="S74:S137">IF(R74="Y",$T$7,0)</f>
        <v>0.30354460766261576</v>
      </c>
      <c r="T74" s="23">
        <f t="shared" si="15"/>
        <v>3082.495490813863</v>
      </c>
      <c r="U74" s="93"/>
      <c r="V74" s="164">
        <f t="shared" si="16"/>
        <v>5.713130160275047</v>
      </c>
      <c r="W74" s="164">
        <f t="shared" si="17"/>
        <v>58016.8367775931</v>
      </c>
      <c r="Y74" s="165"/>
    </row>
    <row r="75" spans="2:25" ht="15">
      <c r="B75" s="294" t="s">
        <v>335</v>
      </c>
      <c r="C75" s="127" t="s">
        <v>135</v>
      </c>
      <c r="D75" s="93"/>
      <c r="E75" s="219">
        <v>1365</v>
      </c>
      <c r="F75" s="219">
        <v>975</v>
      </c>
      <c r="G75" s="220">
        <v>1440</v>
      </c>
      <c r="H75" s="288">
        <f t="shared" si="11"/>
        <v>3780</v>
      </c>
      <c r="I75" s="171"/>
      <c r="J75" s="163">
        <f t="shared" si="12"/>
        <v>4.915526586568746</v>
      </c>
      <c r="K75" s="23">
        <f t="shared" si="18"/>
        <v>18580.69049722986</v>
      </c>
      <c r="L75" s="93"/>
      <c r="M75">
        <v>0.29562499999999997</v>
      </c>
      <c r="N75" s="104">
        <f t="shared" si="19"/>
        <v>1117.4624999999999</v>
      </c>
      <c r="O75" s="21">
        <f t="shared" si="20"/>
        <v>2055.1164963563606</v>
      </c>
      <c r="P75" s="21">
        <f t="shared" si="13"/>
        <v>0.543681612792688</v>
      </c>
      <c r="Q75" s="93"/>
      <c r="R75" s="287" t="str">
        <f t="shared" si="14"/>
        <v>Y</v>
      </c>
      <c r="S75" s="23">
        <f t="shared" si="21"/>
        <v>0.30354460766261576</v>
      </c>
      <c r="T75" s="23">
        <f t="shared" si="15"/>
        <v>1147.3986169646876</v>
      </c>
      <c r="U75" s="93"/>
      <c r="V75" s="164">
        <f t="shared" si="16"/>
        <v>5.76275280702405</v>
      </c>
      <c r="W75" s="164">
        <f t="shared" si="17"/>
        <v>21783.20561055091</v>
      </c>
      <c r="Y75" s="165"/>
    </row>
    <row r="76" spans="2:25" ht="15">
      <c r="B76" s="294" t="s">
        <v>336</v>
      </c>
      <c r="C76" s="127" t="s">
        <v>135</v>
      </c>
      <c r="D76" s="93"/>
      <c r="E76" s="219">
        <v>4185</v>
      </c>
      <c r="F76" s="219">
        <v>1170</v>
      </c>
      <c r="G76" s="220">
        <v>1260</v>
      </c>
      <c r="H76" s="288">
        <f t="shared" si="11"/>
        <v>6615</v>
      </c>
      <c r="I76" s="171"/>
      <c r="J76" s="163">
        <f t="shared" si="12"/>
        <v>4.915526586568746</v>
      </c>
      <c r="K76" s="23">
        <f t="shared" si="18"/>
        <v>32516.208370152257</v>
      </c>
      <c r="L76" s="93"/>
      <c r="M76">
        <v>0.30985714285714294</v>
      </c>
      <c r="N76" s="104">
        <f t="shared" si="19"/>
        <v>2049.7050000000004</v>
      </c>
      <c r="O76" s="21">
        <f t="shared" si="20"/>
        <v>3769.5963472278627</v>
      </c>
      <c r="P76" s="21">
        <f t="shared" si="13"/>
        <v>0.5698558348039097</v>
      </c>
      <c r="Q76" s="93"/>
      <c r="R76" s="287" t="str">
        <f t="shared" si="14"/>
        <v>Y</v>
      </c>
      <c r="S76" s="23">
        <f t="shared" si="21"/>
        <v>0.30354460766261576</v>
      </c>
      <c r="T76" s="23">
        <f t="shared" si="15"/>
        <v>2007.9475796882032</v>
      </c>
      <c r="U76" s="93"/>
      <c r="V76" s="164">
        <f t="shared" si="16"/>
        <v>5.788927029035272</v>
      </c>
      <c r="W76" s="164">
        <f t="shared" si="17"/>
        <v>38293.75229706832</v>
      </c>
      <c r="Y76" s="165"/>
    </row>
    <row r="77" spans="2:25" ht="15">
      <c r="B77" s="113" t="s">
        <v>337</v>
      </c>
      <c r="C77" s="127" t="s">
        <v>135</v>
      </c>
      <c r="D77" s="93"/>
      <c r="E77" s="219">
        <v>17901</v>
      </c>
      <c r="F77" s="219">
        <v>10790</v>
      </c>
      <c r="G77" s="220">
        <v>13560</v>
      </c>
      <c r="H77" s="288">
        <f t="shared" si="11"/>
        <v>42251</v>
      </c>
      <c r="I77" s="171"/>
      <c r="J77" s="163">
        <f t="shared" si="12"/>
        <v>4.915526586568746</v>
      </c>
      <c r="K77" s="23">
        <f t="shared" si="18"/>
        <v>207685.9138091161</v>
      </c>
      <c r="L77" s="93"/>
      <c r="M77">
        <v>0.19391666666666665</v>
      </c>
      <c r="N77" s="104">
        <f t="shared" si="19"/>
        <v>8193.173083333333</v>
      </c>
      <c r="O77" s="21">
        <f t="shared" si="20"/>
        <v>15068.000188875458</v>
      </c>
      <c r="P77" s="21">
        <f t="shared" si="13"/>
        <v>0.35663061676351937</v>
      </c>
      <c r="Q77" s="93"/>
      <c r="R77" s="287" t="str">
        <f t="shared" si="14"/>
        <v>N</v>
      </c>
      <c r="S77" s="23">
        <f t="shared" si="21"/>
        <v>0</v>
      </c>
      <c r="T77" s="23">
        <f t="shared" si="15"/>
        <v>0</v>
      </c>
      <c r="U77" s="93"/>
      <c r="V77" s="164">
        <f t="shared" si="16"/>
        <v>5.272157203332266</v>
      </c>
      <c r="W77" s="164">
        <f t="shared" si="17"/>
        <v>222753.91399799153</v>
      </c>
      <c r="Y77" s="165"/>
    </row>
    <row r="78" spans="2:25" ht="15">
      <c r="B78" t="s">
        <v>338</v>
      </c>
      <c r="C78" s="127" t="s">
        <v>135</v>
      </c>
      <c r="D78" s="93"/>
      <c r="E78" s="219">
        <v>8762</v>
      </c>
      <c r="F78" s="221">
        <v>3315</v>
      </c>
      <c r="G78" s="220">
        <v>6840</v>
      </c>
      <c r="H78" s="288">
        <f t="shared" si="11"/>
        <v>18917</v>
      </c>
      <c r="I78" s="171"/>
      <c r="J78" s="163">
        <f t="shared" si="12"/>
        <v>4.915526586568746</v>
      </c>
      <c r="K78" s="23">
        <f t="shared" si="18"/>
        <v>92987.01643812098</v>
      </c>
      <c r="L78" s="93"/>
      <c r="M78">
        <v>0.219051282051282</v>
      </c>
      <c r="N78" s="104">
        <f t="shared" si="19"/>
        <v>4143.793102564102</v>
      </c>
      <c r="O78" s="21">
        <f t="shared" si="20"/>
        <v>7620.81730936581</v>
      </c>
      <c r="P78" s="21">
        <f t="shared" si="13"/>
        <v>0.40285549026620554</v>
      </c>
      <c r="Q78" s="93"/>
      <c r="R78" s="287" t="str">
        <f t="shared" si="14"/>
        <v>N</v>
      </c>
      <c r="S78" s="23">
        <f t="shared" si="21"/>
        <v>0</v>
      </c>
      <c r="T78" s="23">
        <f t="shared" si="15"/>
        <v>0</v>
      </c>
      <c r="U78" s="93"/>
      <c r="V78" s="164">
        <f t="shared" si="16"/>
        <v>5.3183820768349515</v>
      </c>
      <c r="W78" s="164">
        <f t="shared" si="17"/>
        <v>100607.83374748679</v>
      </c>
      <c r="Y78" s="165"/>
    </row>
    <row r="79" spans="2:25" ht="15">
      <c r="B79" s="294" t="s">
        <v>339</v>
      </c>
      <c r="C79" s="127" t="s">
        <v>135</v>
      </c>
      <c r="D79" s="93"/>
      <c r="E79" s="219">
        <v>2613</v>
      </c>
      <c r="F79" s="219">
        <v>585</v>
      </c>
      <c r="G79" s="220">
        <v>1485</v>
      </c>
      <c r="H79" s="288">
        <f t="shared" si="11"/>
        <v>4683</v>
      </c>
      <c r="I79" s="171"/>
      <c r="J79" s="163">
        <f t="shared" si="12"/>
        <v>4.915526586568746</v>
      </c>
      <c r="K79" s="23">
        <f t="shared" si="18"/>
        <v>23019.411004901438</v>
      </c>
      <c r="L79" s="93"/>
      <c r="M79">
        <v>0.24066666666666667</v>
      </c>
      <c r="N79" s="104">
        <f t="shared" si="19"/>
        <v>1127.042</v>
      </c>
      <c r="O79" s="21">
        <f t="shared" si="20"/>
        <v>2072.7340794760144</v>
      </c>
      <c r="P79" s="21">
        <f t="shared" si="13"/>
        <v>0.4426081741353864</v>
      </c>
      <c r="Q79" s="93"/>
      <c r="R79" s="287" t="str">
        <f t="shared" si="14"/>
        <v>N</v>
      </c>
      <c r="S79" s="23">
        <f t="shared" si="21"/>
        <v>0</v>
      </c>
      <c r="T79" s="23">
        <f t="shared" si="15"/>
        <v>0</v>
      </c>
      <c r="U79" s="93"/>
      <c r="V79" s="164">
        <f t="shared" si="16"/>
        <v>5.358134760704132</v>
      </c>
      <c r="W79" s="164">
        <f t="shared" si="17"/>
        <v>25092.14508437745</v>
      </c>
      <c r="Y79" s="165"/>
    </row>
    <row r="80" spans="2:25" ht="15">
      <c r="B80" t="s">
        <v>340</v>
      </c>
      <c r="C80" s="127" t="s">
        <v>135</v>
      </c>
      <c r="E80" s="219">
        <v>9750</v>
      </c>
      <c r="F80" s="221">
        <v>7785</v>
      </c>
      <c r="G80" s="220">
        <v>6300</v>
      </c>
      <c r="H80" s="223">
        <f t="shared" si="11"/>
        <v>23835</v>
      </c>
      <c r="J80" s="163">
        <f t="shared" si="12"/>
        <v>4.915526586568746</v>
      </c>
      <c r="K80" s="23">
        <f t="shared" si="18"/>
        <v>117161.57619086606</v>
      </c>
      <c r="M80" s="287">
        <v>0.226</v>
      </c>
      <c r="N80" s="104">
        <f t="shared" si="19"/>
        <v>5386.71</v>
      </c>
      <c r="O80" s="21">
        <f t="shared" si="20"/>
        <v>9906.656001510362</v>
      </c>
      <c r="P80" s="21">
        <f t="shared" si="13"/>
        <v>0.415634822803036</v>
      </c>
      <c r="R80" s="287" t="str">
        <f t="shared" si="14"/>
        <v>N</v>
      </c>
      <c r="S80" s="23">
        <f t="shared" si="21"/>
        <v>0</v>
      </c>
      <c r="T80" s="23">
        <f t="shared" si="15"/>
        <v>0</v>
      </c>
      <c r="V80" s="164">
        <f t="shared" si="16"/>
        <v>5.3311614093717825</v>
      </c>
      <c r="W80" s="164">
        <f t="shared" si="17"/>
        <v>127068.23219237642</v>
      </c>
      <c r="Y80" s="165"/>
    </row>
    <row r="81" spans="2:25" ht="15">
      <c r="B81" s="113" t="s">
        <v>341</v>
      </c>
      <c r="C81" s="127" t="s">
        <v>135</v>
      </c>
      <c r="E81" s="219">
        <v>585</v>
      </c>
      <c r="F81" s="219">
        <v>585</v>
      </c>
      <c r="G81" s="220">
        <v>990</v>
      </c>
      <c r="H81" s="223">
        <f t="shared" si="11"/>
        <v>2160</v>
      </c>
      <c r="J81" s="163">
        <f t="shared" si="12"/>
        <v>4.915526586568746</v>
      </c>
      <c r="K81" s="23">
        <f t="shared" si="18"/>
        <v>10617.537426988492</v>
      </c>
      <c r="M81">
        <v>0.26183333333333336</v>
      </c>
      <c r="N81" s="104">
        <f t="shared" si="19"/>
        <v>565.5600000000001</v>
      </c>
      <c r="O81" s="21">
        <f t="shared" si="20"/>
        <v>1040.1169486039162</v>
      </c>
      <c r="P81" s="21">
        <f t="shared" si="13"/>
        <v>0.48153562435366487</v>
      </c>
      <c r="R81" s="287" t="str">
        <f t="shared" si="14"/>
        <v>Y</v>
      </c>
      <c r="S81" s="23">
        <f t="shared" si="21"/>
        <v>0.30354460766261576</v>
      </c>
      <c r="T81" s="23">
        <f t="shared" si="15"/>
        <v>655.65635255125</v>
      </c>
      <c r="V81" s="164">
        <f t="shared" si="16"/>
        <v>5.700606818585027</v>
      </c>
      <c r="W81" s="164">
        <f t="shared" si="17"/>
        <v>12313.310728143659</v>
      </c>
      <c r="Y81" s="165"/>
    </row>
    <row r="82" spans="2:25" ht="15">
      <c r="B82" s="4" t="s">
        <v>342</v>
      </c>
      <c r="C82" s="128" t="s">
        <v>135</v>
      </c>
      <c r="D82" s="93"/>
      <c r="E82" s="219">
        <v>195</v>
      </c>
      <c r="F82" s="219">
        <v>0</v>
      </c>
      <c r="G82" s="220">
        <v>180</v>
      </c>
      <c r="H82" s="288">
        <f t="shared" si="11"/>
        <v>375</v>
      </c>
      <c r="I82" s="171"/>
      <c r="J82" s="163">
        <f t="shared" si="12"/>
        <v>4.915526586568746</v>
      </c>
      <c r="K82" s="135">
        <f t="shared" si="18"/>
        <v>1843.32246996328</v>
      </c>
      <c r="L82" s="93"/>
      <c r="M82" s="4">
        <v>0.3045</v>
      </c>
      <c r="N82" s="289">
        <f t="shared" si="19"/>
        <v>114.1875</v>
      </c>
      <c r="O82" s="21">
        <f t="shared" si="20"/>
        <v>210.00133331337022</v>
      </c>
      <c r="P82" s="290">
        <f t="shared" si="13"/>
        <v>0.5600035555023206</v>
      </c>
      <c r="Q82" s="93"/>
      <c r="R82" s="291" t="str">
        <f t="shared" si="14"/>
        <v>Y</v>
      </c>
      <c r="S82" s="23">
        <f t="shared" si="21"/>
        <v>0.30354460766261576</v>
      </c>
      <c r="T82" s="23">
        <f t="shared" si="15"/>
        <v>113.82922787348092</v>
      </c>
      <c r="U82" s="93"/>
      <c r="V82" s="292">
        <f t="shared" si="16"/>
        <v>5.779074749733683</v>
      </c>
      <c r="W82" s="292">
        <f t="shared" si="17"/>
        <v>2167.153031150131</v>
      </c>
      <c r="X82" s="93"/>
      <c r="Y82" s="293"/>
    </row>
    <row r="83" spans="2:25" ht="15">
      <c r="B83" t="s">
        <v>343</v>
      </c>
      <c r="C83" s="127" t="s">
        <v>135</v>
      </c>
      <c r="D83" s="93"/>
      <c r="E83" s="219">
        <v>1638</v>
      </c>
      <c r="F83" s="219">
        <v>897</v>
      </c>
      <c r="G83" s="220">
        <v>1716</v>
      </c>
      <c r="H83" s="288">
        <f t="shared" si="11"/>
        <v>4251</v>
      </c>
      <c r="I83" s="171"/>
      <c r="J83" s="163">
        <f t="shared" si="12"/>
        <v>4.915526586568746</v>
      </c>
      <c r="K83" s="23">
        <f t="shared" si="18"/>
        <v>20895.90351950374</v>
      </c>
      <c r="L83" s="93"/>
      <c r="M83">
        <v>0.07015384615384616</v>
      </c>
      <c r="N83" s="104">
        <f t="shared" si="19"/>
        <v>298.22400000000005</v>
      </c>
      <c r="O83" s="21">
        <f t="shared" si="20"/>
        <v>548.4614132549231</v>
      </c>
      <c r="P83" s="21">
        <f t="shared" si="13"/>
        <v>0.1290193867925013</v>
      </c>
      <c r="Q83" s="93"/>
      <c r="R83" s="287" t="str">
        <f t="shared" si="14"/>
        <v>N</v>
      </c>
      <c r="S83" s="23">
        <f t="shared" si="21"/>
        <v>0</v>
      </c>
      <c r="T83" s="23">
        <f t="shared" si="15"/>
        <v>0</v>
      </c>
      <c r="U83" s="93"/>
      <c r="V83" s="164">
        <f t="shared" si="16"/>
        <v>5.044545973361248</v>
      </c>
      <c r="W83" s="164">
        <f t="shared" si="17"/>
        <v>21444.36493275866</v>
      </c>
      <c r="Y83" s="165"/>
    </row>
    <row r="84" spans="2:25" ht="15">
      <c r="B84" s="4" t="s">
        <v>344</v>
      </c>
      <c r="C84" s="127" t="s">
        <v>135</v>
      </c>
      <c r="D84" s="93"/>
      <c r="E84" s="219">
        <v>14635</v>
      </c>
      <c r="F84" s="219">
        <v>8550</v>
      </c>
      <c r="G84" s="220">
        <v>13065</v>
      </c>
      <c r="H84" s="288">
        <f t="shared" si="11"/>
        <v>36250</v>
      </c>
      <c r="I84" s="171"/>
      <c r="J84" s="163">
        <f t="shared" si="12"/>
        <v>4.915526586568746</v>
      </c>
      <c r="K84" s="23">
        <f t="shared" si="18"/>
        <v>178187.83876311706</v>
      </c>
      <c r="L84" s="93"/>
      <c r="M84">
        <v>0.27019230769230784</v>
      </c>
      <c r="N84" s="104">
        <f t="shared" si="19"/>
        <v>9794.47115384616</v>
      </c>
      <c r="O84" s="21">
        <f t="shared" si="20"/>
        <v>18012.934878222546</v>
      </c>
      <c r="P84" s="21">
        <f t="shared" si="13"/>
        <v>0.4969085483647599</v>
      </c>
      <c r="Q84" s="93"/>
      <c r="R84" s="287" t="str">
        <f t="shared" si="14"/>
        <v>Y</v>
      </c>
      <c r="S84" s="23">
        <f t="shared" si="21"/>
        <v>0.30354460766261576</v>
      </c>
      <c r="T84" s="23">
        <f t="shared" si="15"/>
        <v>11003.492027769822</v>
      </c>
      <c r="U84" s="93"/>
      <c r="V84" s="164">
        <f t="shared" si="16"/>
        <v>5.715979742596122</v>
      </c>
      <c r="W84" s="164">
        <f t="shared" si="17"/>
        <v>207204.26566910942</v>
      </c>
      <c r="Y84" s="165"/>
    </row>
    <row r="85" spans="2:25" ht="15">
      <c r="B85" s="113" t="s">
        <v>345</v>
      </c>
      <c r="C85" s="127" t="s">
        <v>135</v>
      </c>
      <c r="E85" s="219">
        <v>4680</v>
      </c>
      <c r="F85" s="219">
        <v>1716</v>
      </c>
      <c r="G85" s="220">
        <v>1770</v>
      </c>
      <c r="H85" s="223">
        <f t="shared" si="11"/>
        <v>8166</v>
      </c>
      <c r="J85" s="163">
        <f t="shared" si="12"/>
        <v>4.915526586568746</v>
      </c>
      <c r="K85" s="23">
        <f t="shared" si="18"/>
        <v>40140.19010592038</v>
      </c>
      <c r="M85">
        <v>0.19463636363636364</v>
      </c>
      <c r="N85" s="104">
        <f t="shared" si="19"/>
        <v>1589.4005454545454</v>
      </c>
      <c r="O85" s="21">
        <f t="shared" si="20"/>
        <v>2923.0540445710117</v>
      </c>
      <c r="P85" s="21">
        <f t="shared" si="13"/>
        <v>0.3579542058010056</v>
      </c>
      <c r="R85" s="287" t="str">
        <f t="shared" si="14"/>
        <v>N</v>
      </c>
      <c r="S85" s="23">
        <f t="shared" si="21"/>
        <v>0</v>
      </c>
      <c r="T85" s="23">
        <f t="shared" si="15"/>
        <v>0</v>
      </c>
      <c r="V85" s="164">
        <f t="shared" si="16"/>
        <v>5.273480792369752</v>
      </c>
      <c r="W85" s="164">
        <f t="shared" si="17"/>
        <v>43063.244150491395</v>
      </c>
      <c r="Y85" s="165"/>
    </row>
    <row r="86" spans="2:25" ht="15">
      <c r="B86" s="4" t="s">
        <v>346</v>
      </c>
      <c r="C86" s="128" t="s">
        <v>135</v>
      </c>
      <c r="D86" s="93"/>
      <c r="E86" s="219">
        <v>0</v>
      </c>
      <c r="F86" s="219">
        <v>0</v>
      </c>
      <c r="G86" s="220">
        <v>360</v>
      </c>
      <c r="H86" s="288">
        <f t="shared" si="11"/>
        <v>360</v>
      </c>
      <c r="I86" s="171"/>
      <c r="J86" s="163">
        <f t="shared" si="12"/>
        <v>4.915526586568746</v>
      </c>
      <c r="K86" s="135">
        <f t="shared" si="18"/>
        <v>1769.5895711647486</v>
      </c>
      <c r="L86" s="93"/>
      <c r="M86" s="4">
        <v>0.23433333333333337</v>
      </c>
      <c r="N86" s="289">
        <f t="shared" si="19"/>
        <v>84.36000000000001</v>
      </c>
      <c r="O86" s="21">
        <f t="shared" si="20"/>
        <v>155.14581261798284</v>
      </c>
      <c r="P86" s="290">
        <f t="shared" si="13"/>
        <v>0.4309605906055079</v>
      </c>
      <c r="Q86" s="93"/>
      <c r="R86" s="291" t="str">
        <f t="shared" si="14"/>
        <v>N</v>
      </c>
      <c r="S86" s="23">
        <f t="shared" si="21"/>
        <v>0</v>
      </c>
      <c r="T86" s="23">
        <f t="shared" si="15"/>
        <v>0</v>
      </c>
      <c r="U86" s="93"/>
      <c r="V86" s="292">
        <f t="shared" si="16"/>
        <v>5.346487177174255</v>
      </c>
      <c r="W86" s="292">
        <f t="shared" si="17"/>
        <v>1924.7353837827313</v>
      </c>
      <c r="X86" s="93"/>
      <c r="Y86" s="293"/>
    </row>
    <row r="87" spans="2:25" ht="15">
      <c r="B87" s="113" t="s">
        <v>347</v>
      </c>
      <c r="C87" s="127" t="s">
        <v>135</v>
      </c>
      <c r="E87" s="219">
        <v>4875</v>
      </c>
      <c r="F87" s="219">
        <v>2265</v>
      </c>
      <c r="G87" s="220">
        <v>3420</v>
      </c>
      <c r="H87" s="223">
        <f t="shared" si="11"/>
        <v>10560</v>
      </c>
      <c r="J87" s="163">
        <f t="shared" si="12"/>
        <v>4.915526586568746</v>
      </c>
      <c r="K87" s="23">
        <f t="shared" si="18"/>
        <v>51907.960754165964</v>
      </c>
      <c r="M87">
        <v>0.13336842105263158</v>
      </c>
      <c r="N87" s="104">
        <f t="shared" si="19"/>
        <v>1408.3705263157894</v>
      </c>
      <c r="O87" s="21">
        <f t="shared" si="20"/>
        <v>2590.123159939299</v>
      </c>
      <c r="P87" s="21">
        <f t="shared" si="13"/>
        <v>0.2452768143881912</v>
      </c>
      <c r="R87" s="287" t="str">
        <f t="shared" si="14"/>
        <v>N</v>
      </c>
      <c r="S87" s="23">
        <f t="shared" si="21"/>
        <v>0</v>
      </c>
      <c r="T87" s="23">
        <f t="shared" si="15"/>
        <v>0</v>
      </c>
      <c r="V87" s="164">
        <f t="shared" si="16"/>
        <v>5.1608034009569375</v>
      </c>
      <c r="W87" s="164">
        <f t="shared" si="17"/>
        <v>54498.083914105264</v>
      </c>
      <c r="Y87" s="165"/>
    </row>
    <row r="88" spans="2:25" ht="15">
      <c r="B88" t="s">
        <v>348</v>
      </c>
      <c r="C88" s="127" t="s">
        <v>135</v>
      </c>
      <c r="E88" s="219">
        <v>0</v>
      </c>
      <c r="F88" s="219">
        <v>0</v>
      </c>
      <c r="G88" s="220">
        <v>540</v>
      </c>
      <c r="H88" s="223">
        <f t="shared" si="11"/>
        <v>540</v>
      </c>
      <c r="J88" s="163">
        <f t="shared" si="12"/>
        <v>4.915526586568746</v>
      </c>
      <c r="K88" s="23">
        <f t="shared" si="18"/>
        <v>2654.384356747123</v>
      </c>
      <c r="M88">
        <v>0.13533333333333333</v>
      </c>
      <c r="N88" s="104">
        <f t="shared" si="19"/>
        <v>73.08</v>
      </c>
      <c r="O88" s="21">
        <f t="shared" si="20"/>
        <v>134.40085332055693</v>
      </c>
      <c r="P88" s="21">
        <f t="shared" si="13"/>
        <v>0.24889046911214247</v>
      </c>
      <c r="R88" s="287" t="str">
        <f t="shared" si="14"/>
        <v>N</v>
      </c>
      <c r="S88" s="23">
        <f t="shared" si="21"/>
        <v>0</v>
      </c>
      <c r="T88" s="23">
        <f t="shared" si="15"/>
        <v>0</v>
      </c>
      <c r="V88" s="164">
        <f t="shared" si="16"/>
        <v>5.164417055680889</v>
      </c>
      <c r="W88" s="164">
        <f t="shared" si="17"/>
        <v>2788.78521006768</v>
      </c>
      <c r="Y88" s="165"/>
    </row>
    <row r="89" spans="2:25" ht="15">
      <c r="B89" s="113" t="s">
        <v>349</v>
      </c>
      <c r="C89" s="127" t="s">
        <v>135</v>
      </c>
      <c r="E89" s="219">
        <v>2010</v>
      </c>
      <c r="F89" s="219">
        <v>561</v>
      </c>
      <c r="G89" s="220">
        <v>980.5</v>
      </c>
      <c r="H89" s="223">
        <f t="shared" si="11"/>
        <v>3551.5</v>
      </c>
      <c r="J89" s="163">
        <f t="shared" si="12"/>
        <v>4.915526586568746</v>
      </c>
      <c r="K89" s="23">
        <f t="shared" si="18"/>
        <v>17457.492672198903</v>
      </c>
      <c r="M89">
        <v>0.2357857142857143</v>
      </c>
      <c r="N89" s="104">
        <f t="shared" si="19"/>
        <v>837.3929642857144</v>
      </c>
      <c r="O89" s="21">
        <f t="shared" si="20"/>
        <v>1540.0428156079731</v>
      </c>
      <c r="P89" s="21">
        <f t="shared" si="13"/>
        <v>0.43363165299393863</v>
      </c>
      <c r="R89" s="287" t="str">
        <f t="shared" si="14"/>
        <v>N</v>
      </c>
      <c r="S89" s="23">
        <f t="shared" si="21"/>
        <v>0</v>
      </c>
      <c r="T89" s="23">
        <f t="shared" si="15"/>
        <v>0</v>
      </c>
      <c r="V89" s="164">
        <f t="shared" si="16"/>
        <v>5.349158239562685</v>
      </c>
      <c r="W89" s="164">
        <f t="shared" si="17"/>
        <v>18997.535487806876</v>
      </c>
      <c r="Y89" s="165"/>
    </row>
    <row r="90" spans="2:25" ht="15">
      <c r="B90" s="113" t="s">
        <v>350</v>
      </c>
      <c r="C90" s="127" t="s">
        <v>135</v>
      </c>
      <c r="E90" s="219">
        <v>9451</v>
      </c>
      <c r="F90" s="219">
        <v>2613</v>
      </c>
      <c r="G90" s="220">
        <v>2664</v>
      </c>
      <c r="H90" s="223">
        <f t="shared" si="11"/>
        <v>14728</v>
      </c>
      <c r="J90" s="163">
        <f t="shared" si="12"/>
        <v>4.915526586568746</v>
      </c>
      <c r="K90" s="23">
        <f t="shared" si="18"/>
        <v>72395.8755669845</v>
      </c>
      <c r="M90">
        <v>0.1331702127659575</v>
      </c>
      <c r="N90" s="104">
        <f t="shared" si="19"/>
        <v>1961.3308936170222</v>
      </c>
      <c r="O90" s="21">
        <f t="shared" si="20"/>
        <v>3607.0682231266865</v>
      </c>
      <c r="P90" s="21">
        <f t="shared" si="13"/>
        <v>0.2449122910868201</v>
      </c>
      <c r="R90" s="287" t="str">
        <f t="shared" si="14"/>
        <v>N</v>
      </c>
      <c r="S90" s="23">
        <f t="shared" si="21"/>
        <v>0</v>
      </c>
      <c r="T90" s="23">
        <f t="shared" si="15"/>
        <v>0</v>
      </c>
      <c r="V90" s="164">
        <f t="shared" si="16"/>
        <v>5.160438877655566</v>
      </c>
      <c r="W90" s="164">
        <f t="shared" si="17"/>
        <v>76002.94379011118</v>
      </c>
      <c r="Y90" s="165"/>
    </row>
    <row r="91" spans="2:25" ht="15">
      <c r="B91" s="113" t="s">
        <v>351</v>
      </c>
      <c r="C91" s="127" t="s">
        <v>135</v>
      </c>
      <c r="E91" s="219">
        <v>11310</v>
      </c>
      <c r="F91" s="219">
        <v>18330</v>
      </c>
      <c r="G91" s="220">
        <v>14940</v>
      </c>
      <c r="H91" s="223">
        <f t="shared" si="11"/>
        <v>44580</v>
      </c>
      <c r="J91" s="163">
        <f t="shared" si="12"/>
        <v>4.915526586568746</v>
      </c>
      <c r="K91" s="23">
        <f t="shared" si="18"/>
        <v>219134.1752292347</v>
      </c>
      <c r="M91">
        <v>0.11493902439024394</v>
      </c>
      <c r="N91" s="104">
        <f t="shared" si="19"/>
        <v>5123.981707317074</v>
      </c>
      <c r="O91" s="21">
        <f t="shared" si="20"/>
        <v>9423.474464454557</v>
      </c>
      <c r="P91" s="21">
        <f t="shared" si="13"/>
        <v>0.21138345590970295</v>
      </c>
      <c r="R91" s="287" t="str">
        <f t="shared" si="14"/>
        <v>N</v>
      </c>
      <c r="S91" s="23">
        <f t="shared" si="21"/>
        <v>0</v>
      </c>
      <c r="T91" s="23">
        <f t="shared" si="15"/>
        <v>0</v>
      </c>
      <c r="V91" s="164">
        <f t="shared" si="16"/>
        <v>5.126910042478449</v>
      </c>
      <c r="W91" s="164">
        <f t="shared" si="17"/>
        <v>228557.64969368925</v>
      </c>
      <c r="Y91" s="165"/>
    </row>
    <row r="92" spans="2:25" ht="15">
      <c r="B92" s="113" t="s">
        <v>352</v>
      </c>
      <c r="C92" s="127" t="s">
        <v>135</v>
      </c>
      <c r="E92" s="219">
        <v>900</v>
      </c>
      <c r="F92" s="219">
        <v>0</v>
      </c>
      <c r="G92" s="220">
        <v>675</v>
      </c>
      <c r="H92" s="223">
        <f t="shared" si="11"/>
        <v>1575</v>
      </c>
      <c r="J92" s="163">
        <f t="shared" si="12"/>
        <v>4.915526586568746</v>
      </c>
      <c r="K92" s="23">
        <f t="shared" si="18"/>
        <v>7741.954373845775</v>
      </c>
      <c r="M92">
        <v>0.056</v>
      </c>
      <c r="N92" s="104">
        <f t="shared" si="19"/>
        <v>88.2</v>
      </c>
      <c r="O92" s="21">
        <f t="shared" si="20"/>
        <v>162.20792642136183</v>
      </c>
      <c r="P92" s="21">
        <f t="shared" si="13"/>
        <v>0.10298915963261068</v>
      </c>
      <c r="R92" s="287" t="str">
        <f t="shared" si="14"/>
        <v>N</v>
      </c>
      <c r="S92" s="23">
        <f t="shared" si="21"/>
        <v>0</v>
      </c>
      <c r="T92" s="23">
        <f t="shared" si="15"/>
        <v>0</v>
      </c>
      <c r="V92" s="164">
        <f t="shared" si="16"/>
        <v>5.018515746201357</v>
      </c>
      <c r="W92" s="164">
        <f t="shared" si="17"/>
        <v>7904.162300267137</v>
      </c>
      <c r="Y92" s="165"/>
    </row>
    <row r="93" spans="2:25" ht="15">
      <c r="B93" s="113" t="s">
        <v>353</v>
      </c>
      <c r="C93" s="127" t="s">
        <v>135</v>
      </c>
      <c r="E93" s="219">
        <v>4095</v>
      </c>
      <c r="F93" s="219">
        <v>3315</v>
      </c>
      <c r="G93" s="220">
        <v>3600</v>
      </c>
      <c r="H93" s="223">
        <f t="shared" si="11"/>
        <v>11010</v>
      </c>
      <c r="J93" s="163">
        <f t="shared" si="12"/>
        <v>4.915526586568746</v>
      </c>
      <c r="K93" s="23">
        <f t="shared" si="18"/>
        <v>54119.9477181219</v>
      </c>
      <c r="M93">
        <v>0.14808333333333332</v>
      </c>
      <c r="N93" s="104">
        <f t="shared" si="19"/>
        <v>1630.3974999999998</v>
      </c>
      <c r="O93" s="21">
        <f t="shared" si="20"/>
        <v>2998.451221287667</v>
      </c>
      <c r="P93" s="21">
        <f t="shared" si="13"/>
        <v>0.2723388938499243</v>
      </c>
      <c r="R93" s="287" t="str">
        <f t="shared" si="14"/>
        <v>N</v>
      </c>
      <c r="S93" s="23">
        <f t="shared" si="21"/>
        <v>0</v>
      </c>
      <c r="T93" s="23">
        <f t="shared" si="15"/>
        <v>0</v>
      </c>
      <c r="V93" s="164">
        <f t="shared" si="16"/>
        <v>5.187865480418671</v>
      </c>
      <c r="W93" s="164">
        <f t="shared" si="17"/>
        <v>57118.39893940956</v>
      </c>
      <c r="Y93" s="165"/>
    </row>
    <row r="94" spans="2:25" ht="15">
      <c r="B94" s="113" t="s">
        <v>354</v>
      </c>
      <c r="C94" s="127" t="s">
        <v>135</v>
      </c>
      <c r="E94" s="219">
        <v>4635</v>
      </c>
      <c r="F94" s="219">
        <v>2445</v>
      </c>
      <c r="G94" s="220">
        <v>3195</v>
      </c>
      <c r="H94" s="223">
        <f t="shared" si="11"/>
        <v>10275</v>
      </c>
      <c r="J94" s="163">
        <f t="shared" si="12"/>
        <v>4.915526586568746</v>
      </c>
      <c r="K94" s="23">
        <f t="shared" si="18"/>
        <v>50507.035676993866</v>
      </c>
      <c r="M94">
        <v>0.23000000000000004</v>
      </c>
      <c r="N94" s="104">
        <f t="shared" si="19"/>
        <v>2363.2500000000005</v>
      </c>
      <c r="O94" s="21">
        <f t="shared" si="20"/>
        <v>4346.234491102986</v>
      </c>
      <c r="P94" s="21">
        <f t="shared" si="13"/>
        <v>0.4229911913482225</v>
      </c>
      <c r="R94" s="287" t="str">
        <f t="shared" si="14"/>
        <v>N</v>
      </c>
      <c r="S94" s="23">
        <f t="shared" si="21"/>
        <v>0</v>
      </c>
      <c r="T94" s="23">
        <f t="shared" si="15"/>
        <v>0</v>
      </c>
      <c r="V94" s="164">
        <f t="shared" si="16"/>
        <v>5.338517777916969</v>
      </c>
      <c r="W94" s="164">
        <f t="shared" si="17"/>
        <v>54853.27016809685</v>
      </c>
      <c r="Y94" s="165"/>
    </row>
    <row r="95" spans="2:25" ht="15">
      <c r="B95" s="113" t="s">
        <v>355</v>
      </c>
      <c r="C95" s="127" t="s">
        <v>135</v>
      </c>
      <c r="E95" s="219">
        <v>7410</v>
      </c>
      <c r="F95" s="219">
        <v>4920</v>
      </c>
      <c r="G95" s="220">
        <v>6600</v>
      </c>
      <c r="H95" s="223">
        <f t="shared" si="11"/>
        <v>18930</v>
      </c>
      <c r="J95" s="163">
        <f t="shared" si="12"/>
        <v>4.915526586568746</v>
      </c>
      <c r="K95" s="23">
        <f t="shared" si="18"/>
        <v>93050.91828374637</v>
      </c>
      <c r="M95">
        <v>0.30116216216216213</v>
      </c>
      <c r="N95" s="104">
        <f t="shared" si="19"/>
        <v>5700.999729729729</v>
      </c>
      <c r="O95" s="21">
        <f t="shared" si="20"/>
        <v>10484.663771975096</v>
      </c>
      <c r="P95" s="21">
        <f t="shared" si="13"/>
        <v>0.5538649641825196</v>
      </c>
      <c r="R95" s="287" t="str">
        <f t="shared" si="14"/>
        <v>Y</v>
      </c>
      <c r="S95" s="23">
        <f t="shared" si="21"/>
        <v>0.30354460766261576</v>
      </c>
      <c r="T95" s="23">
        <f t="shared" si="15"/>
        <v>5746.099423053316</v>
      </c>
      <c r="V95" s="164">
        <f t="shared" si="16"/>
        <v>5.772936158413882</v>
      </c>
      <c r="W95" s="164">
        <f t="shared" si="17"/>
        <v>109281.68147877479</v>
      </c>
      <c r="Y95" s="165"/>
    </row>
    <row r="96" spans="2:25" ht="15">
      <c r="B96" t="s">
        <v>356</v>
      </c>
      <c r="C96" s="127" t="s">
        <v>135</v>
      </c>
      <c r="E96" s="219">
        <v>4350</v>
      </c>
      <c r="F96" s="219">
        <v>1950</v>
      </c>
      <c r="G96" s="220">
        <v>2340</v>
      </c>
      <c r="H96" s="223">
        <f t="shared" si="11"/>
        <v>8640</v>
      </c>
      <c r="J96" s="163">
        <f t="shared" si="12"/>
        <v>4.915526586568746</v>
      </c>
      <c r="K96" s="23">
        <f t="shared" si="18"/>
        <v>42470.14970795397</v>
      </c>
      <c r="M96">
        <v>0.22239999999999996</v>
      </c>
      <c r="N96" s="104">
        <f t="shared" si="19"/>
        <v>1921.5359999999996</v>
      </c>
      <c r="O96" s="21">
        <f t="shared" si="20"/>
        <v>3533.88174721086</v>
      </c>
      <c r="P96" s="21">
        <f t="shared" si="13"/>
        <v>0.40901409111236803</v>
      </c>
      <c r="R96" s="287" t="str">
        <f t="shared" si="14"/>
        <v>N</v>
      </c>
      <c r="S96" s="23">
        <f t="shared" si="21"/>
        <v>0</v>
      </c>
      <c r="T96" s="23">
        <f t="shared" si="15"/>
        <v>0</v>
      </c>
      <c r="V96" s="164">
        <f t="shared" si="16"/>
        <v>5.324540677681115</v>
      </c>
      <c r="W96" s="164">
        <f t="shared" si="17"/>
        <v>46004.031455164826</v>
      </c>
      <c r="Y96" s="165"/>
    </row>
    <row r="97" spans="2:25" ht="15">
      <c r="B97" t="s">
        <v>357</v>
      </c>
      <c r="C97" s="127" t="s">
        <v>135</v>
      </c>
      <c r="E97" s="219">
        <v>2145</v>
      </c>
      <c r="F97" s="219">
        <v>195</v>
      </c>
      <c r="G97" s="220">
        <v>1080</v>
      </c>
      <c r="H97" s="223">
        <f t="shared" si="11"/>
        <v>3420</v>
      </c>
      <c r="J97" s="163">
        <f t="shared" si="12"/>
        <v>4.915526586568746</v>
      </c>
      <c r="K97" s="23">
        <f t="shared" si="18"/>
        <v>16811.10092606511</v>
      </c>
      <c r="M97">
        <v>0.24583333333333335</v>
      </c>
      <c r="N97" s="104">
        <f t="shared" si="19"/>
        <v>840.75</v>
      </c>
      <c r="O97" s="21">
        <f t="shared" si="20"/>
        <v>1546.2167135913826</v>
      </c>
      <c r="P97" s="21">
        <f t="shared" si="13"/>
        <v>0.4521101501729189</v>
      </c>
      <c r="R97" s="287" t="str">
        <f t="shared" si="14"/>
        <v>N</v>
      </c>
      <c r="S97" s="23">
        <f t="shared" si="21"/>
        <v>0</v>
      </c>
      <c r="T97" s="23">
        <f t="shared" si="15"/>
        <v>0</v>
      </c>
      <c r="V97" s="164">
        <f t="shared" si="16"/>
        <v>5.367636736741665</v>
      </c>
      <c r="W97" s="164">
        <f t="shared" si="17"/>
        <v>18357.317639656496</v>
      </c>
      <c r="Y97" s="165"/>
    </row>
    <row r="98" spans="2:25" ht="15">
      <c r="B98" t="s">
        <v>358</v>
      </c>
      <c r="C98" s="127" t="s">
        <v>135</v>
      </c>
      <c r="E98" s="219">
        <v>0</v>
      </c>
      <c r="F98" s="219">
        <v>0</v>
      </c>
      <c r="G98" s="220">
        <v>180</v>
      </c>
      <c r="H98" s="223">
        <f t="shared" si="11"/>
        <v>180</v>
      </c>
      <c r="J98" s="163">
        <f t="shared" si="12"/>
        <v>4.915526586568746</v>
      </c>
      <c r="K98" s="23">
        <f t="shared" si="18"/>
        <v>884.7947855823743</v>
      </c>
      <c r="M98">
        <v>0.251</v>
      </c>
      <c r="N98" s="104">
        <f t="shared" si="19"/>
        <v>45.18</v>
      </c>
      <c r="O98" s="21">
        <f t="shared" si="20"/>
        <v>83.09018271788126</v>
      </c>
      <c r="P98" s="21">
        <f t="shared" si="13"/>
        <v>0.46161212621045145</v>
      </c>
      <c r="R98" s="287" t="str">
        <f t="shared" si="14"/>
        <v>Y</v>
      </c>
      <c r="S98" s="23">
        <f t="shared" si="21"/>
        <v>0.30354460766261576</v>
      </c>
      <c r="T98" s="23">
        <f t="shared" si="15"/>
        <v>54.63802937927084</v>
      </c>
      <c r="V98" s="164">
        <f t="shared" si="16"/>
        <v>5.680683320441814</v>
      </c>
      <c r="W98" s="164">
        <f t="shared" si="17"/>
        <v>1022.5229976795264</v>
      </c>
      <c r="Y98" s="165"/>
    </row>
    <row r="99" spans="2:25" ht="15">
      <c r="B99" s="113" t="s">
        <v>359</v>
      </c>
      <c r="C99" s="127" t="s">
        <v>135</v>
      </c>
      <c r="E99" s="219">
        <v>1755</v>
      </c>
      <c r="F99" s="219">
        <v>390</v>
      </c>
      <c r="G99" s="220">
        <v>1620</v>
      </c>
      <c r="H99" s="223">
        <f t="shared" si="11"/>
        <v>3765</v>
      </c>
      <c r="J99" s="163">
        <f t="shared" si="12"/>
        <v>4.915526586568746</v>
      </c>
      <c r="K99" s="23">
        <f t="shared" si="18"/>
        <v>18506.95759843133</v>
      </c>
      <c r="M99">
        <v>0.2177777777777778</v>
      </c>
      <c r="N99" s="104">
        <f t="shared" si="19"/>
        <v>819.9333333333334</v>
      </c>
      <c r="O99" s="21">
        <f t="shared" si="20"/>
        <v>1507.9329456208081</v>
      </c>
      <c r="P99" s="21">
        <f t="shared" si="13"/>
        <v>0.4005133985712638</v>
      </c>
      <c r="R99" s="287" t="str">
        <f t="shared" si="14"/>
        <v>N</v>
      </c>
      <c r="S99" s="23">
        <f t="shared" si="21"/>
        <v>0</v>
      </c>
      <c r="T99" s="23">
        <f t="shared" si="15"/>
        <v>0</v>
      </c>
      <c r="V99" s="164">
        <f t="shared" si="16"/>
        <v>5.31603998514001</v>
      </c>
      <c r="W99" s="164">
        <f t="shared" si="17"/>
        <v>20014.890544052138</v>
      </c>
      <c r="Y99" s="165"/>
    </row>
    <row r="100" spans="2:25" ht="15">
      <c r="B100" s="113" t="s">
        <v>360</v>
      </c>
      <c r="C100" s="127" t="s">
        <v>135</v>
      </c>
      <c r="E100" s="219">
        <v>195</v>
      </c>
      <c r="F100" s="219">
        <v>195</v>
      </c>
      <c r="G100" s="220">
        <v>180</v>
      </c>
      <c r="H100" s="223">
        <f t="shared" si="11"/>
        <v>570</v>
      </c>
      <c r="J100" s="163">
        <f t="shared" si="12"/>
        <v>4.915526586568746</v>
      </c>
      <c r="K100" s="23">
        <f t="shared" si="18"/>
        <v>2801.8501543441853</v>
      </c>
      <c r="M100">
        <v>0.226</v>
      </c>
      <c r="N100" s="104">
        <f t="shared" si="19"/>
        <v>128.82</v>
      </c>
      <c r="O100" s="21">
        <f t="shared" si="20"/>
        <v>236.9118489977305</v>
      </c>
      <c r="P100" s="21">
        <f t="shared" si="13"/>
        <v>0.41563482280303593</v>
      </c>
      <c r="R100" s="287" t="str">
        <f t="shared" si="14"/>
        <v>N</v>
      </c>
      <c r="S100" s="23">
        <f t="shared" si="21"/>
        <v>0</v>
      </c>
      <c r="T100" s="23">
        <f t="shared" si="15"/>
        <v>0</v>
      </c>
      <c r="V100" s="164">
        <f t="shared" si="16"/>
        <v>5.3311614093717825</v>
      </c>
      <c r="W100" s="164">
        <f t="shared" si="17"/>
        <v>3038.7620033419157</v>
      </c>
      <c r="Y100" s="165"/>
    </row>
    <row r="101" spans="2:25" ht="15">
      <c r="B101" s="113" t="s">
        <v>361</v>
      </c>
      <c r="C101" s="127" t="s">
        <v>135</v>
      </c>
      <c r="E101" s="219">
        <v>8502</v>
      </c>
      <c r="F101" s="219">
        <v>4645</v>
      </c>
      <c r="G101" s="220">
        <v>6480</v>
      </c>
      <c r="H101" s="223">
        <f t="shared" si="11"/>
        <v>19627</v>
      </c>
      <c r="J101" s="163">
        <f t="shared" si="12"/>
        <v>4.915526586568746</v>
      </c>
      <c r="K101" s="23">
        <f t="shared" si="18"/>
        <v>96477.04031458478</v>
      </c>
      <c r="M101">
        <v>0.21522857142857144</v>
      </c>
      <c r="N101" s="104">
        <f t="shared" si="19"/>
        <v>4224.291171428572</v>
      </c>
      <c r="O101" s="21">
        <f t="shared" si="20"/>
        <v>7768.860674801521</v>
      </c>
      <c r="P101" s="21">
        <f t="shared" si="13"/>
        <v>0.395825173220641</v>
      </c>
      <c r="R101" s="287" t="str">
        <f t="shared" si="14"/>
        <v>N</v>
      </c>
      <c r="S101" s="23">
        <f t="shared" si="21"/>
        <v>0</v>
      </c>
      <c r="T101" s="23">
        <f t="shared" si="15"/>
        <v>0</v>
      </c>
      <c r="V101" s="164">
        <f t="shared" si="16"/>
        <v>5.311351759789387</v>
      </c>
      <c r="W101" s="164">
        <f t="shared" si="17"/>
        <v>104245.9009893863</v>
      </c>
      <c r="Y101" s="165"/>
    </row>
    <row r="102" spans="2:25" ht="15">
      <c r="B102" s="113" t="s">
        <v>362</v>
      </c>
      <c r="C102" s="127" t="s">
        <v>135</v>
      </c>
      <c r="E102" s="219">
        <v>5460</v>
      </c>
      <c r="F102" s="219">
        <v>1755</v>
      </c>
      <c r="G102" s="220">
        <v>2880</v>
      </c>
      <c r="H102" s="223">
        <f t="shared" si="11"/>
        <v>10095</v>
      </c>
      <c r="J102" s="163">
        <f t="shared" si="12"/>
        <v>4.915526586568746</v>
      </c>
      <c r="K102" s="23">
        <f t="shared" si="18"/>
        <v>49622.24089141149</v>
      </c>
      <c r="M102">
        <v>0.10218750000000003</v>
      </c>
      <c r="N102" s="104">
        <f t="shared" si="19"/>
        <v>1031.5828125000003</v>
      </c>
      <c r="O102" s="21">
        <f t="shared" si="20"/>
        <v>1897.1758384075004</v>
      </c>
      <c r="P102" s="21">
        <f t="shared" si="13"/>
        <v>0.18793222767781084</v>
      </c>
      <c r="R102" s="287" t="str">
        <f t="shared" si="14"/>
        <v>N</v>
      </c>
      <c r="S102" s="23">
        <f t="shared" si="21"/>
        <v>0</v>
      </c>
      <c r="T102" s="23">
        <f t="shared" si="15"/>
        <v>0</v>
      </c>
      <c r="V102" s="164">
        <f t="shared" si="16"/>
        <v>5.103458814246557</v>
      </c>
      <c r="W102" s="164">
        <f t="shared" si="17"/>
        <v>51519.41672981899</v>
      </c>
      <c r="Y102" s="165"/>
    </row>
    <row r="103" spans="2:25" ht="15">
      <c r="B103" s="113" t="s">
        <v>363</v>
      </c>
      <c r="C103" s="127" t="s">
        <v>135</v>
      </c>
      <c r="E103" s="219">
        <v>2535</v>
      </c>
      <c r="F103" s="219">
        <v>2775</v>
      </c>
      <c r="G103" s="220">
        <v>2190</v>
      </c>
      <c r="H103" s="223">
        <f t="shared" si="11"/>
        <v>7500</v>
      </c>
      <c r="J103" s="163">
        <f t="shared" si="12"/>
        <v>4.915526586568746</v>
      </c>
      <c r="K103" s="23">
        <f t="shared" si="18"/>
        <v>36866.4493992656</v>
      </c>
      <c r="M103">
        <v>0.1505</v>
      </c>
      <c r="N103" s="104">
        <f t="shared" si="19"/>
        <v>1128.75</v>
      </c>
      <c r="O103" s="21">
        <f t="shared" si="20"/>
        <v>2075.875248844809</v>
      </c>
      <c r="P103" s="21">
        <f t="shared" si="13"/>
        <v>0.2767833665126412</v>
      </c>
      <c r="R103" s="287" t="str">
        <f t="shared" si="14"/>
        <v>N</v>
      </c>
      <c r="S103" s="23">
        <f t="shared" si="21"/>
        <v>0</v>
      </c>
      <c r="T103" s="23">
        <f t="shared" si="15"/>
        <v>0</v>
      </c>
      <c r="V103" s="164">
        <f t="shared" si="16"/>
        <v>5.192309953081388</v>
      </c>
      <c r="W103" s="164">
        <f t="shared" si="17"/>
        <v>38942.32464811041</v>
      </c>
      <c r="Y103" s="165"/>
    </row>
    <row r="104" spans="2:25" ht="15">
      <c r="B104" t="s">
        <v>364</v>
      </c>
      <c r="C104" s="127" t="s">
        <v>135</v>
      </c>
      <c r="E104" s="219">
        <v>0</v>
      </c>
      <c r="F104" s="219">
        <v>0</v>
      </c>
      <c r="G104" s="220">
        <v>270</v>
      </c>
      <c r="H104" s="223">
        <f t="shared" si="11"/>
        <v>270</v>
      </c>
      <c r="J104" s="163">
        <f t="shared" si="12"/>
        <v>4.915526586568746</v>
      </c>
      <c r="K104" s="23">
        <f t="shared" si="18"/>
        <v>1327.1921783735615</v>
      </c>
      <c r="M104">
        <v>0.28099999999999997</v>
      </c>
      <c r="N104" s="104">
        <f t="shared" si="19"/>
        <v>75.86999999999999</v>
      </c>
      <c r="O104" s="21">
        <f t="shared" si="20"/>
        <v>139.5319203808245</v>
      </c>
      <c r="P104" s="21">
        <f t="shared" si="13"/>
        <v>0.5167848902993499</v>
      </c>
      <c r="R104" s="287" t="str">
        <f t="shared" si="14"/>
        <v>Y</v>
      </c>
      <c r="S104" s="23">
        <f t="shared" si="21"/>
        <v>0.30354460766261576</v>
      </c>
      <c r="T104" s="23">
        <f t="shared" si="15"/>
        <v>81.95704406890626</v>
      </c>
      <c r="V104" s="164">
        <f t="shared" si="16"/>
        <v>5.735856084530712</v>
      </c>
      <c r="W104" s="164">
        <f t="shared" si="17"/>
        <v>1548.6811428232922</v>
      </c>
      <c r="Y104" s="165"/>
    </row>
    <row r="105" spans="2:25" ht="15">
      <c r="B105" s="113" t="s">
        <v>365</v>
      </c>
      <c r="C105" s="127" t="s">
        <v>135</v>
      </c>
      <c r="E105" s="219">
        <v>1725</v>
      </c>
      <c r="F105" s="219">
        <v>240</v>
      </c>
      <c r="G105" s="220">
        <v>975</v>
      </c>
      <c r="H105" s="223">
        <f t="shared" si="11"/>
        <v>2940</v>
      </c>
      <c r="J105" s="163">
        <f t="shared" si="12"/>
        <v>4.915526586568746</v>
      </c>
      <c r="K105" s="23">
        <f t="shared" si="18"/>
        <v>14451.648164512115</v>
      </c>
      <c r="M105">
        <v>0.2632</v>
      </c>
      <c r="N105" s="104">
        <f t="shared" si="19"/>
        <v>773.808</v>
      </c>
      <c r="O105" s="21">
        <f t="shared" si="20"/>
        <v>1423.1042078034143</v>
      </c>
      <c r="P105" s="21">
        <f t="shared" si="13"/>
        <v>0.48404905027327016</v>
      </c>
      <c r="R105" s="287" t="str">
        <f t="shared" si="14"/>
        <v>Y</v>
      </c>
      <c r="S105" s="23">
        <f t="shared" si="21"/>
        <v>0.30354460766261576</v>
      </c>
      <c r="T105" s="23">
        <f t="shared" si="15"/>
        <v>892.4211465280904</v>
      </c>
      <c r="V105" s="164">
        <f t="shared" si="16"/>
        <v>5.703120244504632</v>
      </c>
      <c r="W105" s="164">
        <f t="shared" si="17"/>
        <v>16767.17351884362</v>
      </c>
      <c r="Y105" s="165"/>
    </row>
    <row r="106" spans="2:25" ht="15">
      <c r="B106" t="s">
        <v>366</v>
      </c>
      <c r="C106" s="127" t="s">
        <v>135</v>
      </c>
      <c r="E106" s="219">
        <v>5028.5</v>
      </c>
      <c r="F106" s="219">
        <v>3171</v>
      </c>
      <c r="G106" s="220">
        <v>3498</v>
      </c>
      <c r="H106" s="223">
        <f t="shared" si="11"/>
        <v>11697.5</v>
      </c>
      <c r="J106" s="163">
        <f t="shared" si="12"/>
        <v>4.915526586568746</v>
      </c>
      <c r="K106" s="23">
        <f t="shared" si="18"/>
        <v>57499.37224638791</v>
      </c>
      <c r="M106">
        <v>0.08954545454545455</v>
      </c>
      <c r="N106" s="104">
        <f t="shared" si="19"/>
        <v>1047.4579545454546</v>
      </c>
      <c r="O106" s="21">
        <f t="shared" si="20"/>
        <v>1926.3716873058872</v>
      </c>
      <c r="P106" s="21">
        <f t="shared" si="13"/>
        <v>0.16468234129565182</v>
      </c>
      <c r="R106" s="287" t="str">
        <f t="shared" si="14"/>
        <v>N</v>
      </c>
      <c r="S106" s="23">
        <f t="shared" si="21"/>
        <v>0</v>
      </c>
      <c r="T106" s="23">
        <f t="shared" si="15"/>
        <v>0</v>
      </c>
      <c r="V106" s="164">
        <f t="shared" si="16"/>
        <v>5.0802089278643985</v>
      </c>
      <c r="W106" s="164">
        <f t="shared" si="17"/>
        <v>59425.7439336938</v>
      </c>
      <c r="Y106" s="165"/>
    </row>
    <row r="107" spans="2:25" ht="15">
      <c r="B107" s="113" t="s">
        <v>367</v>
      </c>
      <c r="C107" s="127" t="s">
        <v>135</v>
      </c>
      <c r="E107" s="219">
        <v>3042</v>
      </c>
      <c r="F107" s="219">
        <v>906</v>
      </c>
      <c r="G107" s="220">
        <v>2052</v>
      </c>
      <c r="H107" s="223">
        <f t="shared" si="11"/>
        <v>6000</v>
      </c>
      <c r="J107" s="163">
        <f t="shared" si="12"/>
        <v>4.915526586568746</v>
      </c>
      <c r="K107" s="23">
        <f t="shared" si="18"/>
        <v>29493.15951941248</v>
      </c>
      <c r="M107">
        <v>0.114875</v>
      </c>
      <c r="N107" s="104">
        <f t="shared" si="19"/>
        <v>689.25</v>
      </c>
      <c r="O107" s="21">
        <f t="shared" si="20"/>
        <v>1267.5942549424449</v>
      </c>
      <c r="P107" s="21">
        <f t="shared" si="13"/>
        <v>0.21126570915707416</v>
      </c>
      <c r="R107" s="287" t="str">
        <f t="shared" si="14"/>
        <v>N</v>
      </c>
      <c r="S107" s="23">
        <f t="shared" si="21"/>
        <v>0</v>
      </c>
      <c r="T107" s="23">
        <f t="shared" si="15"/>
        <v>0</v>
      </c>
      <c r="V107" s="164">
        <f t="shared" si="16"/>
        <v>5.126792295725821</v>
      </c>
      <c r="W107" s="164">
        <f t="shared" si="17"/>
        <v>30760.753774354922</v>
      </c>
      <c r="Y107" s="165"/>
    </row>
    <row r="108" spans="2:25" ht="15">
      <c r="B108" s="113" t="s">
        <v>368</v>
      </c>
      <c r="C108" s="127" t="s">
        <v>135</v>
      </c>
      <c r="E108" s="219">
        <v>2145</v>
      </c>
      <c r="F108" s="219">
        <v>1560</v>
      </c>
      <c r="G108" s="220">
        <v>3780</v>
      </c>
      <c r="H108" s="223">
        <f t="shared" si="11"/>
        <v>7485</v>
      </c>
      <c r="J108" s="163">
        <f t="shared" si="12"/>
        <v>4.915526586568746</v>
      </c>
      <c r="K108" s="23">
        <f t="shared" si="18"/>
        <v>36792.71650046707</v>
      </c>
      <c r="M108">
        <v>0.1657727272727273</v>
      </c>
      <c r="N108" s="104">
        <f t="shared" si="19"/>
        <v>1240.8088636363639</v>
      </c>
      <c r="O108" s="21">
        <f t="shared" si="20"/>
        <v>2281.961823760781</v>
      </c>
      <c r="P108" s="21">
        <f t="shared" si="13"/>
        <v>0.3048713191397169</v>
      </c>
      <c r="R108" s="287" t="str">
        <f t="shared" si="14"/>
        <v>N</v>
      </c>
      <c r="S108" s="23">
        <f t="shared" si="21"/>
        <v>0</v>
      </c>
      <c r="T108" s="23">
        <f t="shared" si="15"/>
        <v>0</v>
      </c>
      <c r="V108" s="164">
        <f t="shared" si="16"/>
        <v>5.220397905708463</v>
      </c>
      <c r="W108" s="164">
        <f t="shared" si="17"/>
        <v>39074.67832422785</v>
      </c>
      <c r="Y108" s="165"/>
    </row>
    <row r="109" spans="2:25" ht="15">
      <c r="B109" s="166" t="s">
        <v>369</v>
      </c>
      <c r="C109" s="127" t="s">
        <v>135</v>
      </c>
      <c r="E109" s="219">
        <v>0</v>
      </c>
      <c r="F109" s="219">
        <v>78</v>
      </c>
      <c r="G109" s="220">
        <v>72</v>
      </c>
      <c r="H109" s="223">
        <f t="shared" si="11"/>
        <v>150</v>
      </c>
      <c r="J109" s="163">
        <f t="shared" si="12"/>
        <v>4.915526586568746</v>
      </c>
      <c r="K109" s="23">
        <f t="shared" si="18"/>
        <v>737.328987985312</v>
      </c>
      <c r="M109" s="287">
        <v>0</v>
      </c>
      <c r="N109" s="104">
        <f t="shared" si="19"/>
        <v>0</v>
      </c>
      <c r="O109" s="21">
        <f t="shared" si="20"/>
        <v>0</v>
      </c>
      <c r="P109" s="21">
        <f t="shared" si="13"/>
        <v>0</v>
      </c>
      <c r="R109" s="287" t="str">
        <f t="shared" si="14"/>
        <v>N</v>
      </c>
      <c r="S109" s="23">
        <f t="shared" si="21"/>
        <v>0</v>
      </c>
      <c r="T109" s="23">
        <f t="shared" si="15"/>
        <v>0</v>
      </c>
      <c r="V109" s="164">
        <f t="shared" si="16"/>
        <v>4.915526586568746</v>
      </c>
      <c r="W109" s="164">
        <f t="shared" si="17"/>
        <v>737.328987985312</v>
      </c>
      <c r="Y109" s="165"/>
    </row>
    <row r="110" spans="2:25" ht="15">
      <c r="B110" s="113" t="s">
        <v>370</v>
      </c>
      <c r="C110" s="127" t="s">
        <v>135</v>
      </c>
      <c r="E110" s="219">
        <v>0</v>
      </c>
      <c r="F110" s="219">
        <v>195</v>
      </c>
      <c r="G110" s="220">
        <v>180</v>
      </c>
      <c r="H110" s="223">
        <f t="shared" si="11"/>
        <v>375</v>
      </c>
      <c r="J110" s="163">
        <f t="shared" si="12"/>
        <v>4.915526586568746</v>
      </c>
      <c r="K110" s="23">
        <f t="shared" si="18"/>
        <v>1843.32246996328</v>
      </c>
      <c r="M110">
        <v>0.23</v>
      </c>
      <c r="N110" s="104">
        <f t="shared" si="19"/>
        <v>86.25</v>
      </c>
      <c r="O110" s="21">
        <f t="shared" si="20"/>
        <v>158.6216967555834</v>
      </c>
      <c r="P110" s="21">
        <f t="shared" si="13"/>
        <v>0.4229911913482224</v>
      </c>
      <c r="R110" s="287" t="str">
        <f t="shared" si="14"/>
        <v>N</v>
      </c>
      <c r="S110" s="23">
        <f t="shared" si="21"/>
        <v>0</v>
      </c>
      <c r="T110" s="23">
        <f t="shared" si="15"/>
        <v>0</v>
      </c>
      <c r="V110" s="164">
        <f t="shared" si="16"/>
        <v>5.338517777916969</v>
      </c>
      <c r="W110" s="164">
        <f t="shared" si="17"/>
        <v>2001.9441667188632</v>
      </c>
      <c r="Y110" s="165"/>
    </row>
    <row r="111" spans="2:25" ht="15">
      <c r="B111" s="113" t="s">
        <v>371</v>
      </c>
      <c r="C111" s="127" t="s">
        <v>135</v>
      </c>
      <c r="E111" s="219">
        <v>195</v>
      </c>
      <c r="F111" s="219">
        <v>0</v>
      </c>
      <c r="G111" s="220">
        <v>180</v>
      </c>
      <c r="H111" s="223">
        <f t="shared" si="11"/>
        <v>375</v>
      </c>
      <c r="J111" s="163">
        <f t="shared" si="12"/>
        <v>4.915526586568746</v>
      </c>
      <c r="K111" s="23">
        <f t="shared" si="18"/>
        <v>1843.32246996328</v>
      </c>
      <c r="M111">
        <v>0.096</v>
      </c>
      <c r="N111" s="104">
        <f t="shared" si="19"/>
        <v>36</v>
      </c>
      <c r="O111" s="21">
        <f t="shared" si="20"/>
        <v>66.2073169066783</v>
      </c>
      <c r="P111" s="21">
        <f t="shared" si="13"/>
        <v>0.17655284508447547</v>
      </c>
      <c r="R111" s="287" t="str">
        <f t="shared" si="14"/>
        <v>N</v>
      </c>
      <c r="S111" s="23">
        <f t="shared" si="21"/>
        <v>0</v>
      </c>
      <c r="T111" s="23">
        <f t="shared" si="15"/>
        <v>0</v>
      </c>
      <c r="V111" s="164">
        <f t="shared" si="16"/>
        <v>5.092079431653222</v>
      </c>
      <c r="W111" s="164">
        <f t="shared" si="17"/>
        <v>1909.5297868699581</v>
      </c>
      <c r="Y111" s="165"/>
    </row>
    <row r="112" spans="2:25" ht="15">
      <c r="B112" t="s">
        <v>372</v>
      </c>
      <c r="C112" s="127" t="s">
        <v>135</v>
      </c>
      <c r="E112" s="219">
        <v>0</v>
      </c>
      <c r="F112" s="219">
        <v>0</v>
      </c>
      <c r="G112" s="220">
        <v>312</v>
      </c>
      <c r="H112" s="223">
        <f t="shared" si="11"/>
        <v>312</v>
      </c>
      <c r="J112" s="163">
        <f t="shared" si="12"/>
        <v>4.915526586568746</v>
      </c>
      <c r="K112" s="23">
        <f t="shared" si="18"/>
        <v>1533.6442950094488</v>
      </c>
      <c r="M112">
        <v>0.11399999999999999</v>
      </c>
      <c r="N112" s="104">
        <f t="shared" si="19"/>
        <v>35.568</v>
      </c>
      <c r="O112" s="21">
        <f t="shared" si="20"/>
        <v>65.41282910379815</v>
      </c>
      <c r="P112" s="21">
        <f t="shared" si="13"/>
        <v>0.20965650353781456</v>
      </c>
      <c r="R112" s="287" t="str">
        <f t="shared" si="14"/>
        <v>N</v>
      </c>
      <c r="S112" s="23">
        <f t="shared" si="21"/>
        <v>0</v>
      </c>
      <c r="T112" s="23">
        <f t="shared" si="15"/>
        <v>0</v>
      </c>
      <c r="V112" s="164">
        <f t="shared" si="16"/>
        <v>5.125183090106561</v>
      </c>
      <c r="W112" s="164">
        <f t="shared" si="17"/>
        <v>1599.057124113247</v>
      </c>
      <c r="Y112" s="165"/>
    </row>
    <row r="113" spans="2:25" ht="15">
      <c r="B113" s="113" t="s">
        <v>373</v>
      </c>
      <c r="C113" s="127" t="s">
        <v>135</v>
      </c>
      <c r="E113" s="219">
        <v>1170</v>
      </c>
      <c r="F113" s="219">
        <v>0</v>
      </c>
      <c r="G113" s="220">
        <v>25</v>
      </c>
      <c r="H113" s="223">
        <f t="shared" si="11"/>
        <v>1195</v>
      </c>
      <c r="J113" s="163">
        <f t="shared" si="12"/>
        <v>4.915526586568746</v>
      </c>
      <c r="K113" s="23">
        <f t="shared" si="18"/>
        <v>5874.054270949652</v>
      </c>
      <c r="M113">
        <v>0.21150000000000002</v>
      </c>
      <c r="N113" s="104">
        <f t="shared" si="19"/>
        <v>252.74250000000004</v>
      </c>
      <c r="O113" s="21">
        <f t="shared" si="20"/>
        <v>464.81674425794836</v>
      </c>
      <c r="P113" s="21">
        <f t="shared" si="13"/>
        <v>0.388967986826735</v>
      </c>
      <c r="R113" s="287" t="str">
        <f t="shared" si="14"/>
        <v>N</v>
      </c>
      <c r="S113" s="23">
        <f t="shared" si="21"/>
        <v>0</v>
      </c>
      <c r="T113" s="23">
        <f t="shared" si="15"/>
        <v>0</v>
      </c>
      <c r="V113" s="164">
        <f t="shared" si="16"/>
        <v>5.304494573395481</v>
      </c>
      <c r="W113" s="164">
        <f t="shared" si="17"/>
        <v>6338.8710152076</v>
      </c>
      <c r="Y113" s="165"/>
    </row>
    <row r="114" spans="2:25" ht="15">
      <c r="B114" t="s">
        <v>374</v>
      </c>
      <c r="C114" s="127" t="s">
        <v>135</v>
      </c>
      <c r="E114" s="219">
        <v>0</v>
      </c>
      <c r="F114" s="219">
        <v>0</v>
      </c>
      <c r="G114" s="220">
        <v>180</v>
      </c>
      <c r="H114" s="223">
        <f t="shared" si="11"/>
        <v>180</v>
      </c>
      <c r="J114" s="163">
        <f t="shared" si="12"/>
        <v>4.915526586568746</v>
      </c>
      <c r="K114" s="23">
        <f t="shared" si="18"/>
        <v>884.7947855823743</v>
      </c>
      <c r="M114">
        <v>0.271</v>
      </c>
      <c r="N114" s="104">
        <f t="shared" si="19"/>
        <v>48.78</v>
      </c>
      <c r="O114" s="21">
        <f t="shared" si="20"/>
        <v>89.71091440854909</v>
      </c>
      <c r="P114" s="21">
        <f t="shared" si="13"/>
        <v>0.4983939689363838</v>
      </c>
      <c r="R114" s="287" t="str">
        <f t="shared" si="14"/>
        <v>Y</v>
      </c>
      <c r="S114" s="23">
        <f t="shared" si="21"/>
        <v>0.30354460766261576</v>
      </c>
      <c r="T114" s="23">
        <f t="shared" si="15"/>
        <v>54.63802937927084</v>
      </c>
      <c r="V114" s="164">
        <f t="shared" si="16"/>
        <v>5.717465163167746</v>
      </c>
      <c r="W114" s="164">
        <f t="shared" si="17"/>
        <v>1029.1437293701943</v>
      </c>
      <c r="Y114" s="165"/>
    </row>
    <row r="115" spans="2:25" ht="15">
      <c r="B115" t="s">
        <v>375</v>
      </c>
      <c r="C115" s="127" t="s">
        <v>135</v>
      </c>
      <c r="E115" s="219">
        <v>0</v>
      </c>
      <c r="F115" s="219">
        <v>0</v>
      </c>
      <c r="G115" s="220">
        <v>180</v>
      </c>
      <c r="H115" s="223">
        <f t="shared" si="11"/>
        <v>180</v>
      </c>
      <c r="J115" s="163">
        <f t="shared" si="12"/>
        <v>4.915526586568746</v>
      </c>
      <c r="K115" s="23">
        <f t="shared" si="18"/>
        <v>884.7947855823743</v>
      </c>
      <c r="M115">
        <v>0.365</v>
      </c>
      <c r="N115" s="104">
        <f t="shared" si="19"/>
        <v>65.7</v>
      </c>
      <c r="O115" s="21">
        <f t="shared" si="20"/>
        <v>120.82835335468789</v>
      </c>
      <c r="P115" s="21">
        <f t="shared" si="13"/>
        <v>0.6712686297482661</v>
      </c>
      <c r="R115" s="287" t="str">
        <f t="shared" si="14"/>
        <v>Y</v>
      </c>
      <c r="S115" s="23">
        <f t="shared" si="21"/>
        <v>0.30354460766261576</v>
      </c>
      <c r="T115" s="23">
        <f t="shared" si="15"/>
        <v>54.63802937927084</v>
      </c>
      <c r="V115" s="164">
        <f t="shared" si="16"/>
        <v>5.8903398239796285</v>
      </c>
      <c r="W115" s="164">
        <f t="shared" si="17"/>
        <v>1060.261168316333</v>
      </c>
      <c r="Y115" s="165"/>
    </row>
    <row r="116" spans="2:25" ht="15">
      <c r="B116" s="113" t="s">
        <v>376</v>
      </c>
      <c r="C116" s="127" t="s">
        <v>135</v>
      </c>
      <c r="E116" s="219">
        <v>4790</v>
      </c>
      <c r="F116" s="219">
        <v>3285</v>
      </c>
      <c r="G116" s="220">
        <v>3404</v>
      </c>
      <c r="H116" s="223">
        <f t="shared" si="11"/>
        <v>11479</v>
      </c>
      <c r="J116" s="163">
        <f t="shared" si="12"/>
        <v>4.915526586568746</v>
      </c>
      <c r="K116" s="23">
        <f t="shared" si="18"/>
        <v>56425.32968722264</v>
      </c>
      <c r="M116">
        <v>0.14470833333333336</v>
      </c>
      <c r="N116" s="104">
        <f t="shared" si="19"/>
        <v>1661.1069583333335</v>
      </c>
      <c r="O116" s="21">
        <f t="shared" si="20"/>
        <v>3054.92874461843</v>
      </c>
      <c r="P116" s="21">
        <f t="shared" si="13"/>
        <v>0.26613195788992333</v>
      </c>
      <c r="R116" s="287" t="str">
        <f t="shared" si="14"/>
        <v>N</v>
      </c>
      <c r="S116" s="23">
        <f t="shared" si="21"/>
        <v>0</v>
      </c>
      <c r="T116" s="23">
        <f t="shared" si="15"/>
        <v>0</v>
      </c>
      <c r="V116" s="164">
        <f t="shared" si="16"/>
        <v>5.18165854445867</v>
      </c>
      <c r="W116" s="164">
        <f t="shared" si="17"/>
        <v>59480.25843184107</v>
      </c>
      <c r="Y116" s="165"/>
    </row>
    <row r="117" spans="2:25" ht="15">
      <c r="B117" s="113" t="s">
        <v>377</v>
      </c>
      <c r="C117" s="127" t="s">
        <v>135</v>
      </c>
      <c r="E117" s="219">
        <v>390</v>
      </c>
      <c r="F117" s="219">
        <v>195</v>
      </c>
      <c r="G117" s="220">
        <v>180</v>
      </c>
      <c r="H117" s="223">
        <f t="shared" si="11"/>
        <v>765</v>
      </c>
      <c r="J117" s="163">
        <f t="shared" si="12"/>
        <v>4.915526586568746</v>
      </c>
      <c r="K117" s="23">
        <f t="shared" si="18"/>
        <v>3760.377838725091</v>
      </c>
      <c r="M117">
        <v>0.287</v>
      </c>
      <c r="N117" s="104">
        <f t="shared" si="19"/>
        <v>219.55499999999998</v>
      </c>
      <c r="O117" s="21">
        <f t="shared" si="20"/>
        <v>403.7818739846042</v>
      </c>
      <c r="P117" s="21">
        <f t="shared" si="13"/>
        <v>0.5278194431171297</v>
      </c>
      <c r="R117" s="287" t="str">
        <f t="shared" si="14"/>
        <v>Y</v>
      </c>
      <c r="S117" s="23">
        <f t="shared" si="21"/>
        <v>0.30354460766261576</v>
      </c>
      <c r="T117" s="23">
        <f t="shared" si="15"/>
        <v>232.21162486190107</v>
      </c>
      <c r="V117" s="164">
        <f t="shared" si="16"/>
        <v>5.746890637348492</v>
      </c>
      <c r="W117" s="164">
        <f t="shared" si="17"/>
        <v>4396.371337571596</v>
      </c>
      <c r="Y117" s="165"/>
    </row>
    <row r="118" spans="2:25" ht="15">
      <c r="B118" s="166" t="s">
        <v>378</v>
      </c>
      <c r="C118" s="127" t="s">
        <v>135</v>
      </c>
      <c r="E118" s="219">
        <v>4485</v>
      </c>
      <c r="F118" s="219">
        <v>1590</v>
      </c>
      <c r="G118" s="220">
        <v>2340</v>
      </c>
      <c r="H118" s="223">
        <f t="shared" si="11"/>
        <v>8415</v>
      </c>
      <c r="J118" s="163">
        <f t="shared" si="12"/>
        <v>4.915526586568746</v>
      </c>
      <c r="K118" s="23">
        <f t="shared" si="18"/>
        <v>41364.156225976</v>
      </c>
      <c r="M118" s="287">
        <v>0</v>
      </c>
      <c r="N118" s="104">
        <f t="shared" si="19"/>
        <v>0</v>
      </c>
      <c r="O118" s="21">
        <f t="shared" si="20"/>
        <v>0</v>
      </c>
      <c r="P118" s="21">
        <f t="shared" si="13"/>
        <v>0</v>
      </c>
      <c r="R118" s="287" t="str">
        <f t="shared" si="14"/>
        <v>N</v>
      </c>
      <c r="S118" s="23">
        <f t="shared" si="21"/>
        <v>0</v>
      </c>
      <c r="T118" s="23">
        <f t="shared" si="15"/>
        <v>0</v>
      </c>
      <c r="V118" s="164">
        <f t="shared" si="16"/>
        <v>4.915526586568746</v>
      </c>
      <c r="W118" s="164">
        <f t="shared" si="17"/>
        <v>41364.156225976</v>
      </c>
      <c r="Y118" s="165"/>
    </row>
    <row r="119" spans="2:25" ht="15">
      <c r="B119" s="113" t="s">
        <v>379</v>
      </c>
      <c r="C119" s="127" t="s">
        <v>135</v>
      </c>
      <c r="E119" s="219">
        <v>5757</v>
      </c>
      <c r="F119" s="219">
        <v>4095</v>
      </c>
      <c r="G119" s="220">
        <v>6300</v>
      </c>
      <c r="H119" s="223">
        <f t="shared" si="11"/>
        <v>16152</v>
      </c>
      <c r="J119" s="163">
        <f t="shared" si="12"/>
        <v>4.915526586568746</v>
      </c>
      <c r="K119" s="23">
        <f t="shared" si="18"/>
        <v>79395.58542625839</v>
      </c>
      <c r="M119">
        <v>0.178</v>
      </c>
      <c r="N119" s="104">
        <f t="shared" si="19"/>
        <v>2875.056</v>
      </c>
      <c r="O119" s="21">
        <f t="shared" si="20"/>
        <v>5287.492881012413</v>
      </c>
      <c r="P119" s="21">
        <f t="shared" si="13"/>
        <v>0.3273584002607982</v>
      </c>
      <c r="R119" s="287" t="str">
        <f t="shared" si="14"/>
        <v>N</v>
      </c>
      <c r="S119" s="23">
        <f t="shared" si="21"/>
        <v>0</v>
      </c>
      <c r="T119" s="23">
        <f t="shared" si="15"/>
        <v>0</v>
      </c>
      <c r="V119" s="164">
        <f t="shared" si="16"/>
        <v>5.242884986829544</v>
      </c>
      <c r="W119" s="164">
        <f t="shared" si="17"/>
        <v>84683.0783072708</v>
      </c>
      <c r="Y119" s="165"/>
    </row>
    <row r="120" spans="2:25" ht="15">
      <c r="B120" s="113" t="s">
        <v>380</v>
      </c>
      <c r="C120" s="127" t="s">
        <v>135</v>
      </c>
      <c r="E120" s="219">
        <v>4485</v>
      </c>
      <c r="F120" s="219">
        <v>1365</v>
      </c>
      <c r="G120" s="220">
        <v>2520</v>
      </c>
      <c r="H120" s="223">
        <f t="shared" si="11"/>
        <v>8370</v>
      </c>
      <c r="J120" s="163">
        <f t="shared" si="12"/>
        <v>4.915526586568746</v>
      </c>
      <c r="K120" s="23">
        <f t="shared" si="18"/>
        <v>41142.95752958041</v>
      </c>
      <c r="M120">
        <v>0.299</v>
      </c>
      <c r="N120" s="104">
        <f t="shared" si="19"/>
        <v>2502.63</v>
      </c>
      <c r="O120" s="21">
        <f t="shared" si="20"/>
        <v>4602.567153060008</v>
      </c>
      <c r="P120" s="21">
        <f t="shared" si="13"/>
        <v>0.5498885487526892</v>
      </c>
      <c r="R120" s="287" t="str">
        <f t="shared" si="14"/>
        <v>Y</v>
      </c>
      <c r="S120" s="23">
        <f t="shared" si="21"/>
        <v>0.30354460766261576</v>
      </c>
      <c r="T120" s="23">
        <f t="shared" si="15"/>
        <v>2540.668366136094</v>
      </c>
      <c r="V120" s="164">
        <f t="shared" si="16"/>
        <v>5.768959742984052</v>
      </c>
      <c r="W120" s="164">
        <f t="shared" si="17"/>
        <v>48286.19304877651</v>
      </c>
      <c r="Y120" s="165"/>
    </row>
    <row r="121" spans="2:25" ht="15">
      <c r="B121" s="113" t="s">
        <v>381</v>
      </c>
      <c r="C121" s="127" t="s">
        <v>135</v>
      </c>
      <c r="E121" s="219">
        <v>3510</v>
      </c>
      <c r="F121" s="219">
        <v>1681</v>
      </c>
      <c r="G121" s="220">
        <v>2292</v>
      </c>
      <c r="H121" s="223">
        <f t="shared" si="11"/>
        <v>7483</v>
      </c>
      <c r="J121" s="163">
        <f t="shared" si="12"/>
        <v>4.915526586568746</v>
      </c>
      <c r="K121" s="23">
        <f t="shared" si="18"/>
        <v>36782.88544729393</v>
      </c>
      <c r="M121">
        <v>0.1495294117647059</v>
      </c>
      <c r="N121" s="104">
        <f t="shared" si="19"/>
        <v>1118.9285882352942</v>
      </c>
      <c r="O121" s="21">
        <f t="shared" si="20"/>
        <v>2057.8127677010075</v>
      </c>
      <c r="P121" s="21">
        <f t="shared" si="13"/>
        <v>0.2749983653215298</v>
      </c>
      <c r="R121" s="287" t="str">
        <f t="shared" si="14"/>
        <v>N</v>
      </c>
      <c r="S121" s="23">
        <f t="shared" si="21"/>
        <v>0</v>
      </c>
      <c r="T121" s="23">
        <f t="shared" si="15"/>
        <v>0</v>
      </c>
      <c r="V121" s="164">
        <f t="shared" si="16"/>
        <v>5.190524951890276</v>
      </c>
      <c r="W121" s="164">
        <f t="shared" si="17"/>
        <v>38840.69821499493</v>
      </c>
      <c r="Y121" s="165"/>
    </row>
    <row r="122" spans="2:25" ht="15">
      <c r="B122" s="113" t="s">
        <v>382</v>
      </c>
      <c r="C122" s="127" t="s">
        <v>135</v>
      </c>
      <c r="E122" s="219">
        <v>14760</v>
      </c>
      <c r="F122" s="219">
        <v>17940</v>
      </c>
      <c r="G122" s="220">
        <v>11130</v>
      </c>
      <c r="H122" s="223">
        <f t="shared" si="11"/>
        <v>43830</v>
      </c>
      <c r="J122" s="163">
        <f t="shared" si="12"/>
        <v>4.915526586568746</v>
      </c>
      <c r="K122" s="23">
        <f t="shared" si="18"/>
        <v>215447.53028930814</v>
      </c>
      <c r="M122">
        <v>0.14159036144578316</v>
      </c>
      <c r="N122" s="104">
        <f t="shared" si="19"/>
        <v>6205.905542168676</v>
      </c>
      <c r="O122" s="21">
        <f t="shared" si="20"/>
        <v>11413.23208120202</v>
      </c>
      <c r="P122" s="21">
        <f t="shared" si="13"/>
        <v>0.26039772031033587</v>
      </c>
      <c r="R122" s="287" t="str">
        <f t="shared" si="14"/>
        <v>N</v>
      </c>
      <c r="S122" s="23">
        <f t="shared" si="21"/>
        <v>0</v>
      </c>
      <c r="T122" s="23">
        <f t="shared" si="15"/>
        <v>0</v>
      </c>
      <c r="V122" s="164">
        <f t="shared" si="16"/>
        <v>5.175924306879082</v>
      </c>
      <c r="W122" s="164">
        <f t="shared" si="17"/>
        <v>226860.76237051017</v>
      </c>
      <c r="Y122" s="165"/>
    </row>
    <row r="123" spans="2:25" ht="15">
      <c r="B123" t="s">
        <v>383</v>
      </c>
      <c r="C123" s="127" t="s">
        <v>135</v>
      </c>
      <c r="E123" s="219">
        <v>7020</v>
      </c>
      <c r="F123" s="219">
        <v>9945</v>
      </c>
      <c r="G123" s="220">
        <v>6600</v>
      </c>
      <c r="H123" s="223">
        <f t="shared" si="11"/>
        <v>23565</v>
      </c>
      <c r="J123" s="163">
        <f t="shared" si="12"/>
        <v>4.915526586568746</v>
      </c>
      <c r="K123" s="23">
        <f t="shared" si="18"/>
        <v>115834.3840124925</v>
      </c>
      <c r="M123">
        <v>0.11852500000000002</v>
      </c>
      <c r="N123" s="104">
        <f t="shared" si="19"/>
        <v>2793.0416250000003</v>
      </c>
      <c r="O123" s="21">
        <f t="shared" si="20"/>
        <v>5136.660888886631</v>
      </c>
      <c r="P123" s="21">
        <f t="shared" si="13"/>
        <v>0.2179783954545568</v>
      </c>
      <c r="R123" s="287" t="str">
        <f t="shared" si="14"/>
        <v>N</v>
      </c>
      <c r="S123" s="23">
        <f t="shared" si="21"/>
        <v>0</v>
      </c>
      <c r="T123" s="23">
        <f t="shared" si="15"/>
        <v>0</v>
      </c>
      <c r="V123" s="164">
        <f t="shared" si="16"/>
        <v>5.133504982023303</v>
      </c>
      <c r="W123" s="164">
        <f t="shared" si="17"/>
        <v>120971.04490137914</v>
      </c>
      <c r="Y123" s="165"/>
    </row>
    <row r="124" spans="2:25" ht="15">
      <c r="B124" t="s">
        <v>384</v>
      </c>
      <c r="C124" s="127" t="s">
        <v>135</v>
      </c>
      <c r="E124" s="219">
        <v>8910</v>
      </c>
      <c r="F124" s="219">
        <v>15990</v>
      </c>
      <c r="G124" s="220">
        <v>11055</v>
      </c>
      <c r="H124" s="223">
        <f t="shared" si="11"/>
        <v>35955</v>
      </c>
      <c r="J124" s="163">
        <f t="shared" si="12"/>
        <v>4.915526586568746</v>
      </c>
      <c r="K124" s="23">
        <f t="shared" si="18"/>
        <v>176737.75842007928</v>
      </c>
      <c r="M124">
        <v>0.09422388059701493</v>
      </c>
      <c r="N124" s="104">
        <f t="shared" si="19"/>
        <v>3387.819626865672</v>
      </c>
      <c r="O124" s="21">
        <f t="shared" si="20"/>
        <v>6230.512434960005</v>
      </c>
      <c r="P124" s="21">
        <f t="shared" si="13"/>
        <v>0.17328639785732178</v>
      </c>
      <c r="R124" s="287" t="str">
        <f t="shared" si="14"/>
        <v>N</v>
      </c>
      <c r="S124" s="23">
        <f t="shared" si="21"/>
        <v>0</v>
      </c>
      <c r="T124" s="23">
        <f t="shared" si="15"/>
        <v>0</v>
      </c>
      <c r="V124" s="164">
        <f t="shared" si="16"/>
        <v>5.088812984426068</v>
      </c>
      <c r="W124" s="164">
        <f t="shared" si="17"/>
        <v>182968.27085503927</v>
      </c>
      <c r="Y124" s="165"/>
    </row>
    <row r="125" spans="2:25" ht="15">
      <c r="B125" t="s">
        <v>385</v>
      </c>
      <c r="C125" s="127" t="s">
        <v>135</v>
      </c>
      <c r="E125" s="219">
        <v>5960</v>
      </c>
      <c r="F125" s="219">
        <v>3315</v>
      </c>
      <c r="G125" s="220">
        <v>4485</v>
      </c>
      <c r="H125" s="223">
        <f t="shared" si="11"/>
        <v>13760</v>
      </c>
      <c r="J125" s="163">
        <f t="shared" si="12"/>
        <v>4.915526586568746</v>
      </c>
      <c r="K125" s="23">
        <f t="shared" si="18"/>
        <v>67637.64583118595</v>
      </c>
      <c r="M125">
        <v>0.13099999999999998</v>
      </c>
      <c r="N125" s="104">
        <f t="shared" si="19"/>
        <v>1802.5599999999997</v>
      </c>
      <c r="O125" s="21">
        <f t="shared" si="20"/>
        <v>3315.0739212028334</v>
      </c>
      <c r="P125" s="21">
        <f t="shared" si="13"/>
        <v>0.2409210698548571</v>
      </c>
      <c r="R125" s="287" t="str">
        <f t="shared" si="14"/>
        <v>N</v>
      </c>
      <c r="S125" s="23">
        <f t="shared" si="21"/>
        <v>0</v>
      </c>
      <c r="T125" s="23">
        <f t="shared" si="15"/>
        <v>0</v>
      </c>
      <c r="V125" s="164">
        <f t="shared" si="16"/>
        <v>5.1564476564236035</v>
      </c>
      <c r="W125" s="164">
        <f t="shared" si="17"/>
        <v>70952.71975238877</v>
      </c>
      <c r="Y125" s="165"/>
    </row>
    <row r="126" spans="2:25" ht="15">
      <c r="B126" s="166" t="s">
        <v>386</v>
      </c>
      <c r="C126" s="127" t="s">
        <v>135</v>
      </c>
      <c r="E126" s="219">
        <v>4095</v>
      </c>
      <c r="F126" s="219">
        <v>2910</v>
      </c>
      <c r="G126" s="220">
        <v>1260</v>
      </c>
      <c r="H126" s="223">
        <f t="shared" si="11"/>
        <v>8265</v>
      </c>
      <c r="J126" s="163">
        <f t="shared" si="12"/>
        <v>4.915526586568746</v>
      </c>
      <c r="K126" s="23">
        <f t="shared" si="18"/>
        <v>40626.827237990685</v>
      </c>
      <c r="M126" s="287">
        <v>0</v>
      </c>
      <c r="N126" s="104">
        <f t="shared" si="19"/>
        <v>0</v>
      </c>
      <c r="O126" s="21">
        <f t="shared" si="20"/>
        <v>0</v>
      </c>
      <c r="P126" s="21">
        <f t="shared" si="13"/>
        <v>0</v>
      </c>
      <c r="R126" s="287" t="str">
        <f t="shared" si="14"/>
        <v>N</v>
      </c>
      <c r="S126" s="23">
        <f t="shared" si="21"/>
        <v>0</v>
      </c>
      <c r="T126" s="23">
        <f t="shared" si="15"/>
        <v>0</v>
      </c>
      <c r="V126" s="164">
        <f t="shared" si="16"/>
        <v>4.915526586568746</v>
      </c>
      <c r="W126" s="164">
        <f t="shared" si="17"/>
        <v>40626.827237990685</v>
      </c>
      <c r="Y126" s="165"/>
    </row>
    <row r="127" spans="2:25" ht="15">
      <c r="B127" t="s">
        <v>387</v>
      </c>
      <c r="C127" s="127" t="s">
        <v>135</v>
      </c>
      <c r="E127" s="219">
        <v>3315</v>
      </c>
      <c r="F127" s="219">
        <v>3510</v>
      </c>
      <c r="G127" s="220">
        <v>4440</v>
      </c>
      <c r="H127" s="223">
        <f t="shared" si="11"/>
        <v>11265</v>
      </c>
      <c r="J127" s="163">
        <f t="shared" si="12"/>
        <v>4.915526586568746</v>
      </c>
      <c r="K127" s="23">
        <f t="shared" si="18"/>
        <v>55373.406997696926</v>
      </c>
      <c r="M127">
        <v>0.2657999999999999</v>
      </c>
      <c r="N127" s="104">
        <f t="shared" si="19"/>
        <v>2994.236999999999</v>
      </c>
      <c r="O127" s="21">
        <f t="shared" si="20"/>
        <v>5506.677720908378</v>
      </c>
      <c r="P127" s="21">
        <f t="shared" si="13"/>
        <v>0.4888306898276412</v>
      </c>
      <c r="R127" s="287" t="str">
        <f t="shared" si="14"/>
        <v>Y</v>
      </c>
      <c r="S127" s="23">
        <f t="shared" si="21"/>
        <v>0.30354460766261576</v>
      </c>
      <c r="T127" s="23">
        <f t="shared" si="15"/>
        <v>3419.4300053193665</v>
      </c>
      <c r="V127" s="164">
        <f t="shared" si="16"/>
        <v>5.7079018840590035</v>
      </c>
      <c r="W127" s="164">
        <f t="shared" si="17"/>
        <v>64299.51472392467</v>
      </c>
      <c r="Y127" s="165"/>
    </row>
    <row r="128" spans="2:25" ht="15">
      <c r="B128" t="s">
        <v>388</v>
      </c>
      <c r="C128" s="127" t="s">
        <v>135</v>
      </c>
      <c r="E128" s="219">
        <v>7020</v>
      </c>
      <c r="F128" s="219">
        <v>3375</v>
      </c>
      <c r="G128" s="220">
        <v>5040</v>
      </c>
      <c r="H128" s="223">
        <f t="shared" si="11"/>
        <v>15435</v>
      </c>
      <c r="J128" s="163">
        <f t="shared" si="12"/>
        <v>4.915526586568746</v>
      </c>
      <c r="K128" s="23">
        <f t="shared" si="18"/>
        <v>75871.15286368859</v>
      </c>
      <c r="M128">
        <v>0.25825</v>
      </c>
      <c r="N128" s="104">
        <f t="shared" si="19"/>
        <v>3986.08875</v>
      </c>
      <c r="O128" s="21">
        <f t="shared" si="20"/>
        <v>7330.7844747054205</v>
      </c>
      <c r="P128" s="21">
        <f t="shared" si="13"/>
        <v>0.4749455441986019</v>
      </c>
      <c r="R128" s="287" t="str">
        <f t="shared" si="14"/>
        <v>Y</v>
      </c>
      <c r="S128" s="23">
        <f t="shared" si="21"/>
        <v>0.30354460766261576</v>
      </c>
      <c r="T128" s="23">
        <f t="shared" si="15"/>
        <v>4685.211019272474</v>
      </c>
      <c r="V128" s="164">
        <f t="shared" si="16"/>
        <v>5.694016738429964</v>
      </c>
      <c r="W128" s="164">
        <f t="shared" si="17"/>
        <v>87887.14835766649</v>
      </c>
      <c r="Y128" s="165"/>
    </row>
    <row r="129" spans="2:25" ht="15">
      <c r="B129" t="s">
        <v>389</v>
      </c>
      <c r="C129" s="127" t="s">
        <v>135</v>
      </c>
      <c r="E129" s="219">
        <v>0</v>
      </c>
      <c r="F129" s="221">
        <v>0</v>
      </c>
      <c r="G129" s="220">
        <v>180</v>
      </c>
      <c r="H129" s="223">
        <f t="shared" si="11"/>
        <v>180</v>
      </c>
      <c r="J129" s="163">
        <f t="shared" si="12"/>
        <v>4.915526586568746</v>
      </c>
      <c r="K129" s="23">
        <f t="shared" si="18"/>
        <v>884.7947855823743</v>
      </c>
      <c r="M129">
        <v>0.131</v>
      </c>
      <c r="N129" s="104">
        <f t="shared" si="19"/>
        <v>23.580000000000002</v>
      </c>
      <c r="O129" s="21">
        <f t="shared" si="20"/>
        <v>43.36579257387429</v>
      </c>
      <c r="P129" s="21">
        <f t="shared" si="13"/>
        <v>0.24092106985485714</v>
      </c>
      <c r="R129" s="287" t="str">
        <f t="shared" si="14"/>
        <v>N</v>
      </c>
      <c r="S129" s="23">
        <f t="shared" si="21"/>
        <v>0</v>
      </c>
      <c r="T129" s="23">
        <f t="shared" si="15"/>
        <v>0</v>
      </c>
      <c r="V129" s="164">
        <f t="shared" si="16"/>
        <v>5.1564476564236035</v>
      </c>
      <c r="W129" s="164">
        <f t="shared" si="17"/>
        <v>928.1605781562486</v>
      </c>
      <c r="Y129" s="165"/>
    </row>
    <row r="130" spans="2:25" ht="15">
      <c r="B130" t="s">
        <v>390</v>
      </c>
      <c r="C130" s="127" t="s">
        <v>135</v>
      </c>
      <c r="E130" s="219">
        <v>195</v>
      </c>
      <c r="F130" s="219">
        <v>195</v>
      </c>
      <c r="G130" s="220">
        <v>180</v>
      </c>
      <c r="H130" s="223">
        <f t="shared" si="11"/>
        <v>570</v>
      </c>
      <c r="J130" s="163">
        <f t="shared" si="12"/>
        <v>4.915526586568746</v>
      </c>
      <c r="K130" s="23">
        <f t="shared" si="18"/>
        <v>2801.8501543441853</v>
      </c>
      <c r="M130">
        <v>0.07450000000000001</v>
      </c>
      <c r="N130" s="104">
        <f t="shared" si="19"/>
        <v>42.465</v>
      </c>
      <c r="O130" s="21">
        <f t="shared" si="20"/>
        <v>78.09704756783594</v>
      </c>
      <c r="P130" s="21">
        <f t="shared" si="13"/>
        <v>0.13701236415409815</v>
      </c>
      <c r="R130" s="287" t="str">
        <f t="shared" si="14"/>
        <v>N</v>
      </c>
      <c r="S130" s="23">
        <f t="shared" si="21"/>
        <v>0</v>
      </c>
      <c r="T130" s="23">
        <f t="shared" si="15"/>
        <v>0</v>
      </c>
      <c r="V130" s="164">
        <f t="shared" si="16"/>
        <v>5.052538950722845</v>
      </c>
      <c r="W130" s="164">
        <f t="shared" si="17"/>
        <v>2879.9472019120212</v>
      </c>
      <c r="Y130" s="165"/>
    </row>
    <row r="131" spans="2:25" ht="15">
      <c r="B131" t="s">
        <v>391</v>
      </c>
      <c r="C131" s="127" t="s">
        <v>135</v>
      </c>
      <c r="E131" s="219">
        <v>4680</v>
      </c>
      <c r="F131" s="219">
        <v>2730</v>
      </c>
      <c r="G131" s="220">
        <v>3780</v>
      </c>
      <c r="H131" s="223">
        <f t="shared" si="11"/>
        <v>11190</v>
      </c>
      <c r="J131" s="163">
        <f t="shared" si="12"/>
        <v>4.915526586568746</v>
      </c>
      <c r="K131" s="23">
        <f t="shared" si="18"/>
        <v>55004.74250370427</v>
      </c>
      <c r="M131">
        <v>0.13490476190476192</v>
      </c>
      <c r="N131" s="104">
        <f t="shared" si="19"/>
        <v>1509.584285714286</v>
      </c>
      <c r="O131" s="21">
        <f t="shared" si="20"/>
        <v>2776.264588934092</v>
      </c>
      <c r="P131" s="21">
        <f t="shared" si="13"/>
        <v>0.24810228676801538</v>
      </c>
      <c r="R131" s="287" t="str">
        <f t="shared" si="14"/>
        <v>N</v>
      </c>
      <c r="S131" s="23">
        <f t="shared" si="21"/>
        <v>0</v>
      </c>
      <c r="T131" s="23">
        <f t="shared" si="15"/>
        <v>0</v>
      </c>
      <c r="V131" s="164">
        <f t="shared" si="16"/>
        <v>5.163628873336762</v>
      </c>
      <c r="W131" s="164">
        <f t="shared" si="17"/>
        <v>57781.00709263836</v>
      </c>
      <c r="Y131" s="165"/>
    </row>
    <row r="132" spans="2:25" ht="15">
      <c r="B132" t="s">
        <v>392</v>
      </c>
      <c r="C132" s="127" t="s">
        <v>135</v>
      </c>
      <c r="E132" s="219">
        <v>0</v>
      </c>
      <c r="F132" s="221">
        <v>0</v>
      </c>
      <c r="G132" s="220">
        <v>180</v>
      </c>
      <c r="H132" s="223">
        <f t="shared" si="11"/>
        <v>180</v>
      </c>
      <c r="J132" s="163">
        <f t="shared" si="12"/>
        <v>4.915526586568746</v>
      </c>
      <c r="K132" s="23">
        <f t="shared" si="18"/>
        <v>884.7947855823743</v>
      </c>
      <c r="M132">
        <v>0.23975000000000002</v>
      </c>
      <c r="N132" s="104">
        <f t="shared" si="19"/>
        <v>43.155</v>
      </c>
      <c r="O132" s="21">
        <f t="shared" si="20"/>
        <v>79.36602114188061</v>
      </c>
      <c r="P132" s="21">
        <f t="shared" si="13"/>
        <v>0.44092233967711447</v>
      </c>
      <c r="R132" s="287" t="str">
        <f t="shared" si="14"/>
        <v>N</v>
      </c>
      <c r="S132" s="23">
        <f t="shared" si="21"/>
        <v>0</v>
      </c>
      <c r="T132" s="23">
        <f t="shared" si="15"/>
        <v>0</v>
      </c>
      <c r="V132" s="164">
        <f t="shared" si="16"/>
        <v>5.356448926245861</v>
      </c>
      <c r="W132" s="164">
        <f t="shared" si="17"/>
        <v>964.1608067242549</v>
      </c>
      <c r="Y132" s="165"/>
    </row>
    <row r="133" spans="2:25" ht="15">
      <c r="B133" t="s">
        <v>393</v>
      </c>
      <c r="C133" s="127" t="s">
        <v>135</v>
      </c>
      <c r="E133" s="219">
        <v>0</v>
      </c>
      <c r="F133" s="219">
        <v>191.5</v>
      </c>
      <c r="G133" s="220">
        <v>146.5</v>
      </c>
      <c r="H133" s="223">
        <f t="shared" si="11"/>
        <v>338</v>
      </c>
      <c r="J133" s="163">
        <f t="shared" si="12"/>
        <v>4.915526586568746</v>
      </c>
      <c r="K133" s="23">
        <f t="shared" si="18"/>
        <v>1661.4479862602363</v>
      </c>
      <c r="M133">
        <v>0.337</v>
      </c>
      <c r="N133" s="104">
        <f t="shared" si="19"/>
        <v>113.906</v>
      </c>
      <c r="O133" s="21">
        <f t="shared" si="20"/>
        <v>209.48362887700273</v>
      </c>
      <c r="P133" s="21">
        <f t="shared" si="13"/>
        <v>0.6197740499319607</v>
      </c>
      <c r="R133" s="287" t="str">
        <f t="shared" si="14"/>
        <v>Y</v>
      </c>
      <c r="S133" s="23">
        <f t="shared" si="21"/>
        <v>0.30354460766261576</v>
      </c>
      <c r="T133" s="23">
        <f t="shared" si="15"/>
        <v>102.59807738996413</v>
      </c>
      <c r="V133" s="164">
        <f t="shared" si="16"/>
        <v>5.8388452441633225</v>
      </c>
      <c r="W133" s="164">
        <f t="shared" si="17"/>
        <v>1973.5296925272032</v>
      </c>
      <c r="Y133" s="165"/>
    </row>
    <row r="134" spans="2:25" ht="15">
      <c r="B134" t="s">
        <v>394</v>
      </c>
      <c r="C134" s="127" t="s">
        <v>135</v>
      </c>
      <c r="E134" s="219">
        <v>6480</v>
      </c>
      <c r="F134" s="219">
        <v>2670</v>
      </c>
      <c r="G134" s="220">
        <v>3345</v>
      </c>
      <c r="H134" s="223">
        <f t="shared" si="11"/>
        <v>12495</v>
      </c>
      <c r="J134" s="163">
        <f t="shared" si="12"/>
        <v>4.915526586568746</v>
      </c>
      <c r="K134" s="23">
        <f t="shared" si="18"/>
        <v>61419.50469917648</v>
      </c>
      <c r="M134">
        <v>0.23811111111111108</v>
      </c>
      <c r="N134" s="104">
        <f t="shared" si="19"/>
        <v>2975.198333333333</v>
      </c>
      <c r="O134" s="21">
        <f t="shared" si="20"/>
        <v>5471.66385875614</v>
      </c>
      <c r="P134" s="21">
        <f t="shared" si="13"/>
        <v>0.43790827200929494</v>
      </c>
      <c r="R134" s="287" t="str">
        <f t="shared" si="14"/>
        <v>N</v>
      </c>
      <c r="S134" s="23">
        <f t="shared" si="21"/>
        <v>0</v>
      </c>
      <c r="T134" s="23">
        <f t="shared" si="15"/>
        <v>0</v>
      </c>
      <c r="V134" s="164">
        <f t="shared" si="16"/>
        <v>5.353434858578042</v>
      </c>
      <c r="W134" s="164">
        <f t="shared" si="17"/>
        <v>66891.16855793263</v>
      </c>
      <c r="Y134" s="165"/>
    </row>
    <row r="135" spans="2:25" ht="15">
      <c r="B135" s="4" t="s">
        <v>395</v>
      </c>
      <c r="C135" s="128" t="s">
        <v>135</v>
      </c>
      <c r="D135" s="93"/>
      <c r="E135" s="219">
        <v>5336.5</v>
      </c>
      <c r="F135" s="221">
        <v>3000</v>
      </c>
      <c r="G135" s="220">
        <v>2999.5</v>
      </c>
      <c r="H135" s="288">
        <f t="shared" si="11"/>
        <v>11336</v>
      </c>
      <c r="I135" s="171"/>
      <c r="J135" s="163">
        <f t="shared" si="12"/>
        <v>4.915526586568746</v>
      </c>
      <c r="K135" s="135">
        <f t="shared" si="18"/>
        <v>55722.40938534331</v>
      </c>
      <c r="L135" s="93"/>
      <c r="M135" s="4">
        <v>0.1076842105263158</v>
      </c>
      <c r="N135" s="289">
        <f t="shared" si="19"/>
        <v>1220.708210526316</v>
      </c>
      <c r="O135" s="21">
        <f t="shared" si="20"/>
        <v>2244.9948706916657</v>
      </c>
      <c r="P135" s="290">
        <f t="shared" si="13"/>
        <v>0.19804118478225702</v>
      </c>
      <c r="Q135" s="93"/>
      <c r="R135" s="291" t="str">
        <f t="shared" si="14"/>
        <v>N</v>
      </c>
      <c r="S135" s="23">
        <f t="shared" si="21"/>
        <v>0</v>
      </c>
      <c r="T135" s="23">
        <f t="shared" si="15"/>
        <v>0</v>
      </c>
      <c r="U135" s="93"/>
      <c r="V135" s="292">
        <f t="shared" si="16"/>
        <v>5.113567771351003</v>
      </c>
      <c r="W135" s="292">
        <f t="shared" si="17"/>
        <v>57967.40425603498</v>
      </c>
      <c r="X135" s="93"/>
      <c r="Y135" s="293"/>
    </row>
    <row r="136" spans="2:25" ht="15">
      <c r="B136" s="295" t="s">
        <v>396</v>
      </c>
      <c r="C136" s="127" t="s">
        <v>135</v>
      </c>
      <c r="E136" s="219">
        <v>13650</v>
      </c>
      <c r="F136" s="219">
        <v>7995</v>
      </c>
      <c r="G136" s="220">
        <v>9285</v>
      </c>
      <c r="H136" s="223">
        <f t="shared" si="11"/>
        <v>30930</v>
      </c>
      <c r="J136" s="163">
        <f t="shared" si="12"/>
        <v>4.915526586568746</v>
      </c>
      <c r="K136" s="23">
        <f t="shared" si="18"/>
        <v>152037.2373225713</v>
      </c>
      <c r="M136">
        <v>0.09594339622641512</v>
      </c>
      <c r="N136" s="104">
        <f t="shared" si="19"/>
        <v>2967.52924528302</v>
      </c>
      <c r="O136" s="21">
        <f t="shared" si="20"/>
        <v>5457.5596992302435</v>
      </c>
      <c r="P136" s="21">
        <f t="shared" si="13"/>
        <v>0.1764487455295908</v>
      </c>
      <c r="R136" s="287" t="str">
        <f t="shared" si="14"/>
        <v>N</v>
      </c>
      <c r="S136" s="23">
        <f t="shared" si="21"/>
        <v>0</v>
      </c>
      <c r="T136" s="23">
        <f t="shared" si="15"/>
        <v>0</v>
      </c>
      <c r="V136" s="164">
        <f t="shared" si="16"/>
        <v>5.091975332098337</v>
      </c>
      <c r="W136" s="164">
        <f t="shared" si="17"/>
        <v>157494.79702180155</v>
      </c>
      <c r="Y136" s="165"/>
    </row>
    <row r="137" spans="2:25" ht="15">
      <c r="B137" s="295" t="s">
        <v>397</v>
      </c>
      <c r="C137" s="127" t="s">
        <v>135</v>
      </c>
      <c r="E137" s="219">
        <v>4620</v>
      </c>
      <c r="F137" s="219">
        <v>3420</v>
      </c>
      <c r="G137" s="220">
        <v>4125</v>
      </c>
      <c r="H137" s="223">
        <f aca="true" t="shared" si="22" ref="H137:H155">SUM(E137:G137)</f>
        <v>12165</v>
      </c>
      <c r="J137" s="163">
        <f aca="true" t="shared" si="23" ref="J137:J155">$K$7/SUM($H$9:$H$216)</f>
        <v>4.915526586568746</v>
      </c>
      <c r="K137" s="23">
        <f t="shared" si="18"/>
        <v>59797.3809256088</v>
      </c>
      <c r="M137">
        <v>0.0732</v>
      </c>
      <c r="N137" s="104">
        <f t="shared" si="19"/>
        <v>890.4780000000001</v>
      </c>
      <c r="O137" s="21">
        <f t="shared" si="20"/>
        <v>1637.6710873451411</v>
      </c>
      <c r="P137" s="21">
        <f aca="true" t="shared" si="24" ref="P137:P155">_xlfn.IFERROR(O137/H137,0)</f>
        <v>0.13462154437691254</v>
      </c>
      <c r="R137" s="287" t="str">
        <f aca="true" t="shared" si="25" ref="R137:R155">IF(M137&gt;0.25,"Y","N")</f>
        <v>N</v>
      </c>
      <c r="S137" s="23">
        <f t="shared" si="21"/>
        <v>0</v>
      </c>
      <c r="T137" s="23">
        <f aca="true" t="shared" si="26" ref="T137:T155">IF(R137="Y",$T$7*H137,0)</f>
        <v>0</v>
      </c>
      <c r="V137" s="164">
        <f aca="true" t="shared" si="27" ref="V137:V155">J137+P137+S137</f>
        <v>5.050148130945659</v>
      </c>
      <c r="W137" s="164">
        <f aca="true" t="shared" si="28" ref="W137:W155">T137+O137+K137</f>
        <v>61435.052012953936</v>
      </c>
      <c r="Y137" s="165"/>
    </row>
    <row r="138" spans="2:25" ht="15">
      <c r="B138" s="295" t="s">
        <v>398</v>
      </c>
      <c r="C138" s="127" t="s">
        <v>135</v>
      </c>
      <c r="E138" s="219">
        <v>928</v>
      </c>
      <c r="F138" s="219">
        <v>384</v>
      </c>
      <c r="G138" s="220">
        <v>720</v>
      </c>
      <c r="H138" s="223">
        <f t="shared" si="22"/>
        <v>2032</v>
      </c>
      <c r="J138" s="163">
        <f t="shared" si="23"/>
        <v>4.915526586568746</v>
      </c>
      <c r="K138" s="23">
        <f aca="true" t="shared" si="29" ref="K138:K155">J138*H138</f>
        <v>9988.350023907693</v>
      </c>
      <c r="M138">
        <v>0.089</v>
      </c>
      <c r="N138" s="104">
        <f aca="true" t="shared" si="30" ref="N138:N155">M138*H138</f>
        <v>180.84799999999998</v>
      </c>
      <c r="O138" s="21">
        <f aca="true" t="shared" si="31" ref="O138:O155">N138*$O$7</f>
        <v>332.596134664971</v>
      </c>
      <c r="P138" s="21">
        <f t="shared" si="24"/>
        <v>0.1636792001303991</v>
      </c>
      <c r="R138" s="287" t="str">
        <f t="shared" si="25"/>
        <v>N</v>
      </c>
      <c r="S138" s="23">
        <f aca="true" t="shared" si="32" ref="S138:S155">IF(R138="Y",$T$7,0)</f>
        <v>0</v>
      </c>
      <c r="T138" s="23">
        <f t="shared" si="26"/>
        <v>0</v>
      </c>
      <c r="V138" s="164">
        <f t="shared" si="27"/>
        <v>5.079205786699146</v>
      </c>
      <c r="W138" s="164">
        <f t="shared" si="28"/>
        <v>10320.946158572664</v>
      </c>
      <c r="Y138" s="165"/>
    </row>
    <row r="139" spans="2:25" ht="15">
      <c r="B139" t="s">
        <v>399</v>
      </c>
      <c r="C139" s="127" t="s">
        <v>135</v>
      </c>
      <c r="E139" s="219">
        <v>4095</v>
      </c>
      <c r="F139" s="219">
        <v>1635</v>
      </c>
      <c r="G139" s="220">
        <v>2160</v>
      </c>
      <c r="H139" s="223">
        <f t="shared" si="22"/>
        <v>7890</v>
      </c>
      <c r="J139" s="163">
        <f t="shared" si="23"/>
        <v>4.915526586568746</v>
      </c>
      <c r="K139" s="23">
        <f t="shared" si="29"/>
        <v>38783.50476802741</v>
      </c>
      <c r="M139">
        <v>0.12766666666666665</v>
      </c>
      <c r="N139" s="104">
        <f t="shared" si="30"/>
        <v>1007.2899999999998</v>
      </c>
      <c r="O139" s="21">
        <f t="shared" si="31"/>
        <v>1852.4991179702213</v>
      </c>
      <c r="P139" s="21">
        <f t="shared" si="24"/>
        <v>0.23479076273386834</v>
      </c>
      <c r="R139" s="287" t="str">
        <f t="shared" si="25"/>
        <v>N</v>
      </c>
      <c r="S139" s="23">
        <f t="shared" si="32"/>
        <v>0</v>
      </c>
      <c r="T139" s="23">
        <f t="shared" si="26"/>
        <v>0</v>
      </c>
      <c r="V139" s="164">
        <f t="shared" si="27"/>
        <v>5.150317349302615</v>
      </c>
      <c r="W139" s="164">
        <f t="shared" si="28"/>
        <v>40636.00388599763</v>
      </c>
      <c r="Y139" s="165"/>
    </row>
    <row r="140" spans="2:25" ht="15">
      <c r="B140" t="s">
        <v>400</v>
      </c>
      <c r="C140" s="127" t="s">
        <v>135</v>
      </c>
      <c r="E140" s="219">
        <v>4560</v>
      </c>
      <c r="F140" s="219">
        <v>1864</v>
      </c>
      <c r="G140" s="220">
        <v>2580</v>
      </c>
      <c r="H140" s="223">
        <f t="shared" si="22"/>
        <v>9004</v>
      </c>
      <c r="J140" s="163">
        <f t="shared" si="23"/>
        <v>4.915526586568746</v>
      </c>
      <c r="K140" s="23">
        <f t="shared" si="29"/>
        <v>44259.40138546499</v>
      </c>
      <c r="M140">
        <v>0.1919375</v>
      </c>
      <c r="N140" s="104">
        <f t="shared" si="30"/>
        <v>1728.2052500000002</v>
      </c>
      <c r="O140" s="21">
        <f t="shared" si="31"/>
        <v>3178.3286851815333</v>
      </c>
      <c r="P140" s="21">
        <f t="shared" si="24"/>
        <v>0.3529907469104324</v>
      </c>
      <c r="R140" s="287" t="str">
        <f t="shared" si="25"/>
        <v>N</v>
      </c>
      <c r="S140" s="23">
        <f t="shared" si="32"/>
        <v>0</v>
      </c>
      <c r="T140" s="23">
        <f t="shared" si="26"/>
        <v>0</v>
      </c>
      <c r="V140" s="164">
        <f t="shared" si="27"/>
        <v>5.268517333479179</v>
      </c>
      <c r="W140" s="164">
        <f t="shared" si="28"/>
        <v>47437.730070646525</v>
      </c>
      <c r="Y140" s="165"/>
    </row>
    <row r="141" spans="2:25" ht="15">
      <c r="B141" t="s">
        <v>401</v>
      </c>
      <c r="C141" s="127" t="s">
        <v>135</v>
      </c>
      <c r="E141" s="219">
        <v>5070</v>
      </c>
      <c r="F141" s="219">
        <v>3315</v>
      </c>
      <c r="G141" s="220">
        <v>4680</v>
      </c>
      <c r="H141" s="223">
        <f t="shared" si="22"/>
        <v>13065</v>
      </c>
      <c r="J141" s="163">
        <f t="shared" si="23"/>
        <v>4.915526586568746</v>
      </c>
      <c r="K141" s="23">
        <f t="shared" si="29"/>
        <v>64221.35485352067</v>
      </c>
      <c r="M141">
        <v>0.11522222222222224</v>
      </c>
      <c r="N141" s="104">
        <f t="shared" si="30"/>
        <v>1505.3783333333336</v>
      </c>
      <c r="O141" s="21">
        <f t="shared" si="31"/>
        <v>2768.5294549846444</v>
      </c>
      <c r="P141" s="21">
        <f t="shared" si="24"/>
        <v>0.2119042828155105</v>
      </c>
      <c r="R141" s="287" t="str">
        <f t="shared" si="25"/>
        <v>N</v>
      </c>
      <c r="S141" s="23">
        <f t="shared" si="32"/>
        <v>0</v>
      </c>
      <c r="T141" s="23">
        <f t="shared" si="26"/>
        <v>0</v>
      </c>
      <c r="V141" s="164">
        <f t="shared" si="27"/>
        <v>5.1274308693842565</v>
      </c>
      <c r="W141" s="164">
        <f t="shared" si="28"/>
        <v>66989.88430850532</v>
      </c>
      <c r="Y141" s="165"/>
    </row>
    <row r="142" spans="2:25" ht="15">
      <c r="B142" t="s">
        <v>402</v>
      </c>
      <c r="C142" s="127" t="s">
        <v>135</v>
      </c>
      <c r="E142" s="219">
        <v>3120</v>
      </c>
      <c r="F142" s="219">
        <v>2535</v>
      </c>
      <c r="G142" s="220">
        <v>2160</v>
      </c>
      <c r="H142" s="223">
        <f t="shared" si="22"/>
        <v>7815</v>
      </c>
      <c r="J142" s="163">
        <f t="shared" si="23"/>
        <v>4.915526586568746</v>
      </c>
      <c r="K142" s="23">
        <f t="shared" si="29"/>
        <v>38414.84027403475</v>
      </c>
      <c r="M142">
        <v>0.24916666666666668</v>
      </c>
      <c r="N142" s="104">
        <f t="shared" si="30"/>
        <v>1947.2375</v>
      </c>
      <c r="O142" s="21">
        <f t="shared" si="31"/>
        <v>3581.149173751888</v>
      </c>
      <c r="P142" s="21">
        <f t="shared" si="24"/>
        <v>0.4582404572939076</v>
      </c>
      <c r="R142" s="287" t="str">
        <f t="shared" si="25"/>
        <v>N</v>
      </c>
      <c r="S142" s="23">
        <f t="shared" si="32"/>
        <v>0</v>
      </c>
      <c r="T142" s="23">
        <f t="shared" si="26"/>
        <v>0</v>
      </c>
      <c r="V142" s="164">
        <f t="shared" si="27"/>
        <v>5.373767043862654</v>
      </c>
      <c r="W142" s="164">
        <f t="shared" si="28"/>
        <v>41995.98944778664</v>
      </c>
      <c r="Y142" s="165"/>
    </row>
    <row r="143" spans="2:25" ht="15">
      <c r="B143" t="s">
        <v>403</v>
      </c>
      <c r="C143" s="127" t="s">
        <v>135</v>
      </c>
      <c r="E143" s="219">
        <v>0</v>
      </c>
      <c r="F143" s="219">
        <v>0</v>
      </c>
      <c r="G143" s="220">
        <v>143</v>
      </c>
      <c r="H143" s="223">
        <f t="shared" si="22"/>
        <v>143</v>
      </c>
      <c r="J143" s="163">
        <f t="shared" si="23"/>
        <v>4.915526586568746</v>
      </c>
      <c r="K143" s="23">
        <f t="shared" si="29"/>
        <v>702.9203018793307</v>
      </c>
      <c r="M143">
        <v>0.14</v>
      </c>
      <c r="N143" s="104">
        <f t="shared" si="30"/>
        <v>20.020000000000003</v>
      </c>
      <c r="O143" s="21">
        <f t="shared" si="31"/>
        <v>36.81862456865832</v>
      </c>
      <c r="P143" s="21">
        <f t="shared" si="24"/>
        <v>0.2574728990815267</v>
      </c>
      <c r="R143" s="287" t="str">
        <f t="shared" si="25"/>
        <v>N</v>
      </c>
      <c r="S143" s="23">
        <f t="shared" si="32"/>
        <v>0</v>
      </c>
      <c r="T143" s="23">
        <f t="shared" si="26"/>
        <v>0</v>
      </c>
      <c r="V143" s="164">
        <f t="shared" si="27"/>
        <v>5.172999485650273</v>
      </c>
      <c r="W143" s="164">
        <f t="shared" si="28"/>
        <v>739.7389264479891</v>
      </c>
      <c r="Y143" s="165"/>
    </row>
    <row r="144" spans="2:25" ht="15">
      <c r="B144" t="s">
        <v>404</v>
      </c>
      <c r="C144" s="127" t="s">
        <v>135</v>
      </c>
      <c r="E144" s="219">
        <v>6825</v>
      </c>
      <c r="F144" s="219">
        <v>5884</v>
      </c>
      <c r="G144" s="220">
        <v>5580</v>
      </c>
      <c r="H144" s="223">
        <f t="shared" si="22"/>
        <v>18289</v>
      </c>
      <c r="J144" s="163">
        <f t="shared" si="23"/>
        <v>4.915526586568746</v>
      </c>
      <c r="K144" s="23">
        <f t="shared" si="29"/>
        <v>89900.0657417558</v>
      </c>
      <c r="M144">
        <v>0.15530555555555547</v>
      </c>
      <c r="N144" s="104">
        <f t="shared" si="30"/>
        <v>2840.383305555554</v>
      </c>
      <c r="O144" s="21">
        <f t="shared" si="31"/>
        <v>5223.726601315418</v>
      </c>
      <c r="P144" s="21">
        <f t="shared" si="24"/>
        <v>0.28562122594539985</v>
      </c>
      <c r="R144" s="287" t="str">
        <f t="shared" si="25"/>
        <v>N</v>
      </c>
      <c r="S144" s="23">
        <f t="shared" si="32"/>
        <v>0</v>
      </c>
      <c r="T144" s="23">
        <f t="shared" si="26"/>
        <v>0</v>
      </c>
      <c r="V144" s="164">
        <f t="shared" si="27"/>
        <v>5.201147812514146</v>
      </c>
      <c r="W144" s="164">
        <f t="shared" si="28"/>
        <v>95123.79234307121</v>
      </c>
      <c r="Y144" s="165"/>
    </row>
    <row r="145" spans="2:25" ht="15">
      <c r="B145" t="s">
        <v>405</v>
      </c>
      <c r="C145" s="127" t="s">
        <v>135</v>
      </c>
      <c r="E145" s="219">
        <v>7340</v>
      </c>
      <c r="F145" s="219">
        <v>1755</v>
      </c>
      <c r="G145" s="220">
        <v>4920</v>
      </c>
      <c r="H145" s="223">
        <f t="shared" si="22"/>
        <v>14015</v>
      </c>
      <c r="J145" s="163">
        <f t="shared" si="23"/>
        <v>4.915526586568746</v>
      </c>
      <c r="K145" s="23">
        <f t="shared" si="29"/>
        <v>68891.10511076098</v>
      </c>
      <c r="M145">
        <v>0.2551785714285715</v>
      </c>
      <c r="N145" s="104">
        <f t="shared" si="30"/>
        <v>3576.3276785714293</v>
      </c>
      <c r="O145" s="21">
        <f t="shared" si="31"/>
        <v>6577.196110480659</v>
      </c>
      <c r="P145" s="21">
        <f t="shared" si="24"/>
        <v>0.46929690406569097</v>
      </c>
      <c r="R145" s="287" t="str">
        <f t="shared" si="25"/>
        <v>Y</v>
      </c>
      <c r="S145" s="23">
        <f t="shared" si="32"/>
        <v>0.30354460766261576</v>
      </c>
      <c r="T145" s="23">
        <f t="shared" si="26"/>
        <v>4254.1776763915595</v>
      </c>
      <c r="V145" s="164">
        <f t="shared" si="27"/>
        <v>5.688368098297053</v>
      </c>
      <c r="W145" s="164">
        <f t="shared" si="28"/>
        <v>79722.4788976332</v>
      </c>
      <c r="Y145" s="165"/>
    </row>
    <row r="146" spans="2:25" ht="15">
      <c r="B146" t="s">
        <v>406</v>
      </c>
      <c r="C146" s="127" t="s">
        <v>135</v>
      </c>
      <c r="E146" s="219">
        <v>3510</v>
      </c>
      <c r="F146" s="219">
        <v>1887</v>
      </c>
      <c r="G146" s="220">
        <v>1500</v>
      </c>
      <c r="H146" s="223">
        <f t="shared" si="22"/>
        <v>6897</v>
      </c>
      <c r="J146" s="163">
        <f t="shared" si="23"/>
        <v>4.915526586568746</v>
      </c>
      <c r="K146" s="23">
        <f t="shared" si="29"/>
        <v>33902.386867564644</v>
      </c>
      <c r="M146">
        <v>0.2238125</v>
      </c>
      <c r="N146" s="104">
        <f t="shared" si="30"/>
        <v>1543.6348125</v>
      </c>
      <c r="O146" s="21">
        <f t="shared" si="31"/>
        <v>2838.8866449824563</v>
      </c>
      <c r="P146" s="21">
        <f t="shared" si="24"/>
        <v>0.4116118087548871</v>
      </c>
      <c r="R146" s="287" t="str">
        <f t="shared" si="25"/>
        <v>N</v>
      </c>
      <c r="S146" s="23">
        <f t="shared" si="32"/>
        <v>0</v>
      </c>
      <c r="T146" s="23">
        <f t="shared" si="26"/>
        <v>0</v>
      </c>
      <c r="V146" s="164">
        <f t="shared" si="27"/>
        <v>5.327138395323633</v>
      </c>
      <c r="W146" s="164">
        <f t="shared" si="28"/>
        <v>36741.2735125471</v>
      </c>
      <c r="Y146" s="165"/>
    </row>
    <row r="147" spans="2:25" ht="15">
      <c r="B147" s="296" t="s">
        <v>407</v>
      </c>
      <c r="C147" s="127" t="s">
        <v>135</v>
      </c>
      <c r="E147" s="219">
        <v>195</v>
      </c>
      <c r="F147" s="219">
        <v>195</v>
      </c>
      <c r="G147" s="220">
        <v>180</v>
      </c>
      <c r="H147" s="223">
        <f t="shared" si="22"/>
        <v>570</v>
      </c>
      <c r="J147" s="163">
        <f t="shared" si="23"/>
        <v>4.915526586568746</v>
      </c>
      <c r="K147" s="23">
        <f t="shared" si="29"/>
        <v>2801.8501543441853</v>
      </c>
      <c r="M147" s="287">
        <v>0.14865714285714288</v>
      </c>
      <c r="N147" s="104">
        <f t="shared" si="30"/>
        <v>84.73457142857144</v>
      </c>
      <c r="O147" s="21">
        <f t="shared" si="31"/>
        <v>155.83468398674992</v>
      </c>
      <c r="P147" s="21">
        <f t="shared" si="24"/>
        <v>0.2733941824328946</v>
      </c>
      <c r="R147" s="287" t="str">
        <f t="shared" si="25"/>
        <v>N</v>
      </c>
      <c r="S147" s="23">
        <f t="shared" si="32"/>
        <v>0</v>
      </c>
      <c r="T147" s="23">
        <f t="shared" si="26"/>
        <v>0</v>
      </c>
      <c r="V147" s="164">
        <f t="shared" si="27"/>
        <v>5.188920769001641</v>
      </c>
      <c r="W147" s="164">
        <f t="shared" si="28"/>
        <v>2957.6848383309352</v>
      </c>
      <c r="Y147" s="165"/>
    </row>
    <row r="148" spans="2:25" ht="15">
      <c r="B148" t="s">
        <v>408</v>
      </c>
      <c r="C148" s="127" t="s">
        <v>135</v>
      </c>
      <c r="E148" s="219">
        <v>5070</v>
      </c>
      <c r="F148" s="219">
        <v>3510</v>
      </c>
      <c r="G148" s="220">
        <v>4140</v>
      </c>
      <c r="H148" s="223">
        <f t="shared" si="22"/>
        <v>12720</v>
      </c>
      <c r="J148" s="163">
        <f t="shared" si="23"/>
        <v>4.915526586568746</v>
      </c>
      <c r="K148" s="23">
        <f t="shared" si="29"/>
        <v>62525.49818115445</v>
      </c>
      <c r="M148">
        <v>0.08926086956521741</v>
      </c>
      <c r="N148" s="104">
        <f t="shared" si="30"/>
        <v>1135.3982608695653</v>
      </c>
      <c r="O148" s="21">
        <f t="shared" si="31"/>
        <v>2088.102013130075</v>
      </c>
      <c r="P148" s="21">
        <f t="shared" si="24"/>
        <v>0.16415896329638957</v>
      </c>
      <c r="R148" s="287" t="str">
        <f t="shared" si="25"/>
        <v>N</v>
      </c>
      <c r="S148" s="23">
        <f t="shared" si="32"/>
        <v>0</v>
      </c>
      <c r="T148" s="23">
        <f t="shared" si="26"/>
        <v>0</v>
      </c>
      <c r="V148" s="164">
        <f t="shared" si="27"/>
        <v>5.079685549865136</v>
      </c>
      <c r="W148" s="164">
        <f t="shared" si="28"/>
        <v>64613.600194284525</v>
      </c>
      <c r="Y148" s="165"/>
    </row>
    <row r="149" spans="2:25" ht="15">
      <c r="B149" t="s">
        <v>409</v>
      </c>
      <c r="C149" s="127" t="s">
        <v>135</v>
      </c>
      <c r="E149" s="219">
        <v>2145</v>
      </c>
      <c r="F149" s="219">
        <v>1170</v>
      </c>
      <c r="G149" s="220">
        <v>2340</v>
      </c>
      <c r="H149" s="223">
        <f t="shared" si="22"/>
        <v>5655</v>
      </c>
      <c r="J149" s="163">
        <f t="shared" si="23"/>
        <v>4.915526586568746</v>
      </c>
      <c r="K149" s="23">
        <f t="shared" si="29"/>
        <v>27797.30284704626</v>
      </c>
      <c r="M149">
        <v>0.13753846153846155</v>
      </c>
      <c r="N149" s="104">
        <f t="shared" si="30"/>
        <v>777.7800000000001</v>
      </c>
      <c r="O149" s="21">
        <f t="shared" si="31"/>
        <v>1430.4090817687847</v>
      </c>
      <c r="P149" s="21">
        <f t="shared" si="24"/>
        <v>0.25294590305371967</v>
      </c>
      <c r="R149" s="287" t="str">
        <f t="shared" si="25"/>
        <v>N</v>
      </c>
      <c r="S149" s="23">
        <f t="shared" si="32"/>
        <v>0</v>
      </c>
      <c r="T149" s="23">
        <f t="shared" si="26"/>
        <v>0</v>
      </c>
      <c r="V149" s="164">
        <f t="shared" si="27"/>
        <v>5.168472489622466</v>
      </c>
      <c r="W149" s="164">
        <f t="shared" si="28"/>
        <v>29227.711928815042</v>
      </c>
      <c r="Y149" s="165"/>
    </row>
    <row r="150" spans="2:25" ht="15">
      <c r="B150" t="s">
        <v>410</v>
      </c>
      <c r="C150" s="127" t="s">
        <v>135</v>
      </c>
      <c r="E150" s="219">
        <v>4485</v>
      </c>
      <c r="F150" s="219">
        <v>2400</v>
      </c>
      <c r="G150" s="220">
        <v>4065</v>
      </c>
      <c r="H150" s="223">
        <f t="shared" si="22"/>
        <v>10950</v>
      </c>
      <c r="J150" s="163">
        <f t="shared" si="23"/>
        <v>4.915526586568746</v>
      </c>
      <c r="K150" s="23">
        <f t="shared" si="29"/>
        <v>53825.01612292777</v>
      </c>
      <c r="M150">
        <v>0.26251351351351354</v>
      </c>
      <c r="N150" s="104">
        <f t="shared" si="30"/>
        <v>2874.522972972973</v>
      </c>
      <c r="O150" s="21">
        <f t="shared" si="31"/>
        <v>5286.512595198575</v>
      </c>
      <c r="P150" s="21">
        <f t="shared" si="24"/>
        <v>0.4827865383742991</v>
      </c>
      <c r="R150" s="287" t="str">
        <f t="shared" si="25"/>
        <v>Y</v>
      </c>
      <c r="S150" s="23">
        <f t="shared" si="32"/>
        <v>0.30354460766261576</v>
      </c>
      <c r="T150" s="23">
        <f t="shared" si="26"/>
        <v>3323.8134539056427</v>
      </c>
      <c r="V150" s="164">
        <f t="shared" si="27"/>
        <v>5.701857732605661</v>
      </c>
      <c r="W150" s="164">
        <f t="shared" si="28"/>
        <v>62435.34217203199</v>
      </c>
      <c r="Y150" s="165"/>
    </row>
    <row r="151" spans="2:25" ht="15">
      <c r="B151" s="296" t="s">
        <v>411</v>
      </c>
      <c r="C151" s="127" t="s">
        <v>135</v>
      </c>
      <c r="E151" s="219">
        <v>1680</v>
      </c>
      <c r="F151" s="219">
        <v>1365</v>
      </c>
      <c r="G151" s="220">
        <v>2520</v>
      </c>
      <c r="H151" s="223">
        <f t="shared" si="22"/>
        <v>5565</v>
      </c>
      <c r="J151" s="163">
        <f t="shared" si="23"/>
        <v>4.915526586568746</v>
      </c>
      <c r="K151" s="23">
        <f t="shared" si="29"/>
        <v>27354.905454255073</v>
      </c>
      <c r="M151" s="287">
        <v>0.09921739130434784</v>
      </c>
      <c r="N151" s="104">
        <f t="shared" si="30"/>
        <v>552.1447826086958</v>
      </c>
      <c r="O151" s="21">
        <f t="shared" si="31"/>
        <v>1015.4451277928588</v>
      </c>
      <c r="P151" s="21">
        <f t="shared" si="24"/>
        <v>0.18246992413169072</v>
      </c>
      <c r="R151" s="287" t="str">
        <f t="shared" si="25"/>
        <v>N</v>
      </c>
      <c r="S151" s="23">
        <f t="shared" si="32"/>
        <v>0</v>
      </c>
      <c r="T151" s="23">
        <f t="shared" si="26"/>
        <v>0</v>
      </c>
      <c r="V151" s="164">
        <f t="shared" si="27"/>
        <v>5.097996510700437</v>
      </c>
      <c r="W151" s="164">
        <f t="shared" si="28"/>
        <v>28370.350582047933</v>
      </c>
      <c r="Y151" s="165"/>
    </row>
    <row r="152" spans="2:25" ht="15">
      <c r="B152" t="s">
        <v>412</v>
      </c>
      <c r="C152" s="127" t="s">
        <v>135</v>
      </c>
      <c r="E152" s="219">
        <v>6045</v>
      </c>
      <c r="F152" s="219">
        <v>4290</v>
      </c>
      <c r="G152" s="220">
        <v>5580</v>
      </c>
      <c r="H152" s="223">
        <f t="shared" si="22"/>
        <v>15915</v>
      </c>
      <c r="J152" s="163">
        <f t="shared" si="23"/>
        <v>4.915526586568746</v>
      </c>
      <c r="K152" s="23">
        <f t="shared" si="29"/>
        <v>78230.6056252416</v>
      </c>
      <c r="M152">
        <v>0.11025806451612909</v>
      </c>
      <c r="N152" s="104">
        <f t="shared" si="30"/>
        <v>1754.7570967741945</v>
      </c>
      <c r="O152" s="21">
        <f t="shared" si="31"/>
        <v>3227.159977788107</v>
      </c>
      <c r="P152" s="21">
        <f t="shared" si="24"/>
        <v>0.20277473941489832</v>
      </c>
      <c r="R152" s="287" t="str">
        <f t="shared" si="25"/>
        <v>N</v>
      </c>
      <c r="S152" s="23">
        <f t="shared" si="32"/>
        <v>0</v>
      </c>
      <c r="T152" s="23">
        <f t="shared" si="26"/>
        <v>0</v>
      </c>
      <c r="V152" s="164">
        <f t="shared" si="27"/>
        <v>5.118301325983644</v>
      </c>
      <c r="W152" s="164">
        <f t="shared" si="28"/>
        <v>81457.76560302971</v>
      </c>
      <c r="Y152" s="165"/>
    </row>
    <row r="153" spans="2:25" ht="15">
      <c r="B153" t="s">
        <v>413</v>
      </c>
      <c r="C153" s="127" t="s">
        <v>135</v>
      </c>
      <c r="E153" s="219">
        <v>8130</v>
      </c>
      <c r="F153" s="219">
        <v>3047</v>
      </c>
      <c r="G153" s="220">
        <v>4144</v>
      </c>
      <c r="H153" s="223">
        <f t="shared" si="22"/>
        <v>15321</v>
      </c>
      <c r="J153" s="163">
        <f t="shared" si="23"/>
        <v>4.915526586568746</v>
      </c>
      <c r="K153" s="23">
        <f t="shared" si="29"/>
        <v>75310.78283281976</v>
      </c>
      <c r="M153">
        <v>0.10246428571428574</v>
      </c>
      <c r="N153" s="104">
        <f t="shared" si="30"/>
        <v>1569.8553214285719</v>
      </c>
      <c r="O153" s="21">
        <f t="shared" si="31"/>
        <v>2887.1085767626882</v>
      </c>
      <c r="P153" s="21">
        <f t="shared" si="24"/>
        <v>0.18844126210839293</v>
      </c>
      <c r="R153" s="287" t="str">
        <f t="shared" si="25"/>
        <v>N</v>
      </c>
      <c r="S153" s="23">
        <f t="shared" si="32"/>
        <v>0</v>
      </c>
      <c r="T153" s="23">
        <f t="shared" si="26"/>
        <v>0</v>
      </c>
      <c r="V153" s="164">
        <f t="shared" si="27"/>
        <v>5.103967848677139</v>
      </c>
      <c r="W153" s="164">
        <f t="shared" si="28"/>
        <v>78197.89140958246</v>
      </c>
      <c r="Y153" s="165"/>
    </row>
    <row r="154" spans="2:25" ht="15">
      <c r="B154" s="4" t="s">
        <v>414</v>
      </c>
      <c r="C154" s="127" t="s">
        <v>135</v>
      </c>
      <c r="D154" s="93"/>
      <c r="E154" s="219">
        <v>1065</v>
      </c>
      <c r="F154" s="219">
        <v>195</v>
      </c>
      <c r="G154" s="220">
        <v>540</v>
      </c>
      <c r="H154" s="288">
        <f t="shared" si="22"/>
        <v>1800</v>
      </c>
      <c r="I154" s="171"/>
      <c r="J154" s="163">
        <f t="shared" si="23"/>
        <v>4.915526586568746</v>
      </c>
      <c r="K154" s="23">
        <f t="shared" si="29"/>
        <v>8847.947855823744</v>
      </c>
      <c r="L154" s="93"/>
      <c r="M154">
        <v>0.24733333333333332</v>
      </c>
      <c r="N154" s="104">
        <f t="shared" si="30"/>
        <v>445.2</v>
      </c>
      <c r="O154" s="21">
        <f t="shared" si="31"/>
        <v>818.7638190792549</v>
      </c>
      <c r="P154" s="21">
        <f t="shared" si="24"/>
        <v>0.45486878837736383</v>
      </c>
      <c r="Q154" s="93"/>
      <c r="R154" s="287" t="str">
        <f t="shared" si="25"/>
        <v>N</v>
      </c>
      <c r="S154" s="23">
        <f t="shared" si="32"/>
        <v>0</v>
      </c>
      <c r="T154" s="23">
        <f t="shared" si="26"/>
        <v>0</v>
      </c>
      <c r="U154" s="93"/>
      <c r="V154" s="164">
        <f t="shared" si="27"/>
        <v>5.37039537494611</v>
      </c>
      <c r="W154" s="164">
        <f t="shared" si="28"/>
        <v>9666.711674903</v>
      </c>
      <c r="X154" s="93"/>
      <c r="Y154" s="293"/>
    </row>
    <row r="155" spans="2:25" ht="15">
      <c r="B155" t="s">
        <v>415</v>
      </c>
      <c r="C155" s="127" t="s">
        <v>135</v>
      </c>
      <c r="E155" s="219">
        <v>0</v>
      </c>
      <c r="F155" s="219">
        <v>0</v>
      </c>
      <c r="G155" s="220">
        <v>180</v>
      </c>
      <c r="H155" s="288">
        <f t="shared" si="22"/>
        <v>180</v>
      </c>
      <c r="J155" s="163">
        <f t="shared" si="23"/>
        <v>4.915526586568746</v>
      </c>
      <c r="K155" s="23">
        <f t="shared" si="29"/>
        <v>884.7947855823743</v>
      </c>
      <c r="M155">
        <v>0.07</v>
      </c>
      <c r="N155" s="104">
        <f t="shared" si="30"/>
        <v>12.600000000000001</v>
      </c>
      <c r="O155" s="21">
        <f t="shared" si="31"/>
        <v>23.172560917337407</v>
      </c>
      <c r="P155" s="21">
        <f t="shared" si="24"/>
        <v>0.12873644954076338</v>
      </c>
      <c r="R155" s="287" t="str">
        <f t="shared" si="25"/>
        <v>N</v>
      </c>
      <c r="S155" s="23">
        <f t="shared" si="32"/>
        <v>0</v>
      </c>
      <c r="T155" s="23">
        <f t="shared" si="26"/>
        <v>0</v>
      </c>
      <c r="V155" s="164">
        <f t="shared" si="27"/>
        <v>5.04426303610951</v>
      </c>
      <c r="W155" s="164">
        <f t="shared" si="28"/>
        <v>907.9673464997117</v>
      </c>
      <c r="Y155" s="165"/>
    </row>
    <row r="156" spans="2:25" ht="15">
      <c r="B156" s="113" t="s">
        <v>416</v>
      </c>
      <c r="C156" s="127"/>
      <c r="E156" s="219">
        <v>502585.5</v>
      </c>
      <c r="F156" s="219">
        <v>316106</v>
      </c>
      <c r="G156" s="219">
        <v>393198</v>
      </c>
      <c r="H156" s="223"/>
      <c r="J156" s="163"/>
      <c r="K156" s="23"/>
      <c r="M156" s="287"/>
      <c r="N156" s="104"/>
      <c r="O156" s="21"/>
      <c r="P156" s="21"/>
      <c r="R156" s="287"/>
      <c r="S156" s="23"/>
      <c r="T156" s="23"/>
      <c r="V156" s="164"/>
      <c r="W156" s="164"/>
      <c r="Y156" s="165"/>
    </row>
    <row r="157" spans="2:25" ht="15">
      <c r="B157" s="113"/>
      <c r="C157" s="127"/>
      <c r="E157" s="219"/>
      <c r="F157" s="219"/>
      <c r="G157" s="220"/>
      <c r="H157" s="223"/>
      <c r="J157" s="163"/>
      <c r="K157" s="23"/>
      <c r="M157" s="287"/>
      <c r="N157" s="104"/>
      <c r="O157" s="21"/>
      <c r="P157" s="21"/>
      <c r="R157" s="287"/>
      <c r="S157" s="23"/>
      <c r="T157" s="23"/>
      <c r="V157" s="164"/>
      <c r="W157" s="164"/>
      <c r="Y157" s="165"/>
    </row>
    <row r="158" spans="2:25" ht="15">
      <c r="B158" s="113"/>
      <c r="C158" s="127"/>
      <c r="E158" s="219"/>
      <c r="F158" s="219"/>
      <c r="G158" s="297"/>
      <c r="H158" s="223"/>
      <c r="J158" s="166"/>
      <c r="K158" s="23"/>
      <c r="M158" s="287"/>
      <c r="N158" s="104"/>
      <c r="O158" s="21"/>
      <c r="P158" s="21"/>
      <c r="R158" s="287"/>
      <c r="S158" s="23"/>
      <c r="T158" s="23"/>
      <c r="V158" s="164"/>
      <c r="W158" s="164"/>
      <c r="Y158" s="165"/>
    </row>
    <row r="159" spans="1:25" ht="15">
      <c r="A159" s="10">
        <v>2001</v>
      </c>
      <c r="B159" s="167" t="s">
        <v>417</v>
      </c>
      <c r="C159" s="128" t="s">
        <v>155</v>
      </c>
      <c r="D159" s="93"/>
      <c r="E159" s="219">
        <v>15015</v>
      </c>
      <c r="F159" s="219">
        <v>12870</v>
      </c>
      <c r="G159" s="298">
        <v>14040</v>
      </c>
      <c r="H159" s="223">
        <f aca="true" t="shared" si="33" ref="H159:H190">SUM(E159:G159)</f>
        <v>41925</v>
      </c>
      <c r="J159" s="163">
        <f aca="true" t="shared" si="34" ref="J159:J216">$K$7/SUM($H$9:$H$216)</f>
        <v>4.915526586568746</v>
      </c>
      <c r="K159" s="23">
        <f aca="true" t="shared" si="35" ref="K159:K216">J159*H159</f>
        <v>206083.4521418947</v>
      </c>
      <c r="M159" s="287">
        <v>0.30678571428571416</v>
      </c>
      <c r="N159" s="104">
        <f aca="true" t="shared" si="36" ref="N159:N216">M159*H159</f>
        <v>12861.991071428567</v>
      </c>
      <c r="O159" s="21">
        <f aca="true" t="shared" si="37" ref="O159:O216">N159*$O$7</f>
        <v>23654.386636581607</v>
      </c>
      <c r="P159" s="21">
        <f aca="true" t="shared" si="38" ref="P159:P216">_xlfn.IFERROR(O159/H159,0)</f>
        <v>0.5642071946709983</v>
      </c>
      <c r="R159" s="287" t="str">
        <f aca="true" t="shared" si="39" ref="R159:R216">IF(M159&gt;0.25,"Y","N")</f>
        <v>Y</v>
      </c>
      <c r="S159" s="23">
        <f aca="true" t="shared" si="40" ref="S159:S216">IF(R159="Y",$T$7,0)</f>
        <v>0.30354460766261576</v>
      </c>
      <c r="T159" s="23">
        <f aca="true" t="shared" si="41" ref="T159:T216">IF(R159="Y",$T$7*H159,0)</f>
        <v>12726.107676255166</v>
      </c>
      <c r="V159" s="164">
        <f aca="true" t="shared" si="42" ref="V159:V216">J159+P159+S159</f>
        <v>5.78327838890236</v>
      </c>
      <c r="W159" s="164">
        <f aca="true" t="shared" si="43" ref="W159:W216">T159+O159+K159</f>
        <v>242463.94645473146</v>
      </c>
      <c r="Y159" s="165"/>
    </row>
    <row r="160" spans="1:25" ht="15">
      <c r="A160" s="10">
        <v>3401</v>
      </c>
      <c r="B160" s="167" t="s">
        <v>418</v>
      </c>
      <c r="C160" s="128" t="s">
        <v>155</v>
      </c>
      <c r="D160" s="93"/>
      <c r="E160" s="219">
        <v>14820</v>
      </c>
      <c r="F160" s="219">
        <v>13455</v>
      </c>
      <c r="G160" s="298">
        <v>13500</v>
      </c>
      <c r="H160" s="223">
        <f t="shared" si="33"/>
        <v>41775</v>
      </c>
      <c r="J160" s="163">
        <f t="shared" si="34"/>
        <v>4.915526586568746</v>
      </c>
      <c r="K160" s="23">
        <f t="shared" si="35"/>
        <v>205346.12315390937</v>
      </c>
      <c r="M160" s="287">
        <v>0.26847457627118637</v>
      </c>
      <c r="N160" s="104">
        <f t="shared" si="36"/>
        <v>11215.52542372881</v>
      </c>
      <c r="O160" s="21">
        <f t="shared" si="37"/>
        <v>20626.384611214464</v>
      </c>
      <c r="P160" s="21">
        <f t="shared" si="38"/>
        <v>0.4937494820159058</v>
      </c>
      <c r="R160" s="287" t="str">
        <f t="shared" si="39"/>
        <v>Y</v>
      </c>
      <c r="S160" s="23">
        <f t="shared" si="40"/>
        <v>0.30354460766261576</v>
      </c>
      <c r="T160" s="23">
        <f t="shared" si="41"/>
        <v>12680.575985105774</v>
      </c>
      <c r="V160" s="164">
        <f t="shared" si="42"/>
        <v>5.712820676247268</v>
      </c>
      <c r="W160" s="164">
        <f t="shared" si="43"/>
        <v>238653.08375022962</v>
      </c>
      <c r="Y160" s="165"/>
    </row>
    <row r="161" spans="1:25" ht="15">
      <c r="A161" s="10">
        <v>2003</v>
      </c>
      <c r="B161" s="167" t="s">
        <v>419</v>
      </c>
      <c r="C161" s="128" t="s">
        <v>155</v>
      </c>
      <c r="D161" s="93"/>
      <c r="E161" s="219">
        <v>6240</v>
      </c>
      <c r="F161" s="219">
        <v>5070</v>
      </c>
      <c r="G161" s="298">
        <v>4680</v>
      </c>
      <c r="H161" s="223">
        <f t="shared" si="33"/>
        <v>15990</v>
      </c>
      <c r="J161" s="163">
        <f t="shared" si="34"/>
        <v>4.915526586568746</v>
      </c>
      <c r="K161" s="23">
        <f t="shared" si="35"/>
        <v>78599.27011923425</v>
      </c>
      <c r="M161" s="287">
        <v>0.19150000000000011</v>
      </c>
      <c r="N161" s="104">
        <f t="shared" si="36"/>
        <v>3062.085000000002</v>
      </c>
      <c r="O161" s="21">
        <f t="shared" si="37"/>
        <v>5631.456444171837</v>
      </c>
      <c r="P161" s="21">
        <f t="shared" si="38"/>
        <v>0.3521861441008028</v>
      </c>
      <c r="R161" s="287" t="str">
        <f t="shared" si="39"/>
        <v>N</v>
      </c>
      <c r="S161" s="23">
        <f t="shared" si="40"/>
        <v>0</v>
      </c>
      <c r="T161" s="23">
        <f t="shared" si="41"/>
        <v>0</v>
      </c>
      <c r="V161" s="164">
        <f t="shared" si="42"/>
        <v>5.267712730669549</v>
      </c>
      <c r="W161" s="164">
        <f t="shared" si="43"/>
        <v>84230.72656340609</v>
      </c>
      <c r="Y161" s="165"/>
    </row>
    <row r="162" spans="1:25" ht="15">
      <c r="A162" s="10">
        <v>2004</v>
      </c>
      <c r="B162" s="167" t="s">
        <v>127</v>
      </c>
      <c r="C162" s="128" t="s">
        <v>155</v>
      </c>
      <c r="D162" s="93"/>
      <c r="E162" s="219">
        <v>8970</v>
      </c>
      <c r="F162" s="219">
        <v>12675</v>
      </c>
      <c r="G162" s="298">
        <v>11880</v>
      </c>
      <c r="H162" s="223">
        <f t="shared" si="33"/>
        <v>33525</v>
      </c>
      <c r="J162" s="163">
        <f t="shared" si="34"/>
        <v>4.915526586568746</v>
      </c>
      <c r="K162" s="23">
        <f t="shared" si="35"/>
        <v>164793.02881471723</v>
      </c>
      <c r="M162" s="287">
        <v>0.06736263736263735</v>
      </c>
      <c r="N162" s="104">
        <f t="shared" si="36"/>
        <v>2258.3324175824173</v>
      </c>
      <c r="O162" s="21">
        <f t="shared" si="37"/>
        <v>4153.2813903195565</v>
      </c>
      <c r="P162" s="21">
        <f t="shared" si="38"/>
        <v>0.12388609665382719</v>
      </c>
      <c r="R162" s="287" t="str">
        <f t="shared" si="39"/>
        <v>N</v>
      </c>
      <c r="S162" s="23">
        <f t="shared" si="40"/>
        <v>0</v>
      </c>
      <c r="T162" s="23">
        <f t="shared" si="41"/>
        <v>0</v>
      </c>
      <c r="V162" s="164">
        <f t="shared" si="42"/>
        <v>5.039412683222573</v>
      </c>
      <c r="W162" s="164">
        <f t="shared" si="43"/>
        <v>168946.31020503677</v>
      </c>
      <c r="Y162" s="165"/>
    </row>
    <row r="163" spans="1:25" ht="15">
      <c r="A163" s="93">
        <v>2002</v>
      </c>
      <c r="B163" s="167" t="s">
        <v>420</v>
      </c>
      <c r="C163" s="128" t="s">
        <v>155</v>
      </c>
      <c r="D163" s="93"/>
      <c r="E163" s="219">
        <v>13065</v>
      </c>
      <c r="F163" s="219">
        <v>9360</v>
      </c>
      <c r="G163" s="298">
        <v>9180</v>
      </c>
      <c r="H163" s="223">
        <f t="shared" si="33"/>
        <v>31605</v>
      </c>
      <c r="J163" s="163">
        <f t="shared" si="34"/>
        <v>4.915526586568746</v>
      </c>
      <c r="K163" s="23">
        <f t="shared" si="35"/>
        <v>155355.21776850522</v>
      </c>
      <c r="M163" s="287">
        <v>0.3086842105263157</v>
      </c>
      <c r="N163" s="104">
        <f t="shared" si="36"/>
        <v>9755.96447368421</v>
      </c>
      <c r="O163" s="21">
        <f t="shared" si="37"/>
        <v>17942.117545541816</v>
      </c>
      <c r="P163" s="21">
        <f t="shared" si="38"/>
        <v>0.5676987041778774</v>
      </c>
      <c r="R163" s="287" t="str">
        <f t="shared" si="39"/>
        <v>Y</v>
      </c>
      <c r="S163" s="23">
        <f t="shared" si="40"/>
        <v>0.30354460766261576</v>
      </c>
      <c r="T163" s="23">
        <f t="shared" si="41"/>
        <v>9593.52732517697</v>
      </c>
      <c r="V163" s="164">
        <f t="shared" si="42"/>
        <v>5.78676989840924</v>
      </c>
      <c r="W163" s="164">
        <f t="shared" si="43"/>
        <v>182890.862639224</v>
      </c>
      <c r="Y163" s="165"/>
    </row>
    <row r="164" spans="1:25" ht="15">
      <c r="A164" s="93">
        <v>3300</v>
      </c>
      <c r="B164" s="167" t="s">
        <v>421</v>
      </c>
      <c r="C164" s="128" t="s">
        <v>155</v>
      </c>
      <c r="D164" s="93"/>
      <c r="E164" s="219">
        <v>6435</v>
      </c>
      <c r="F164" s="219">
        <v>4875</v>
      </c>
      <c r="G164" s="298">
        <v>4680</v>
      </c>
      <c r="H164" s="223">
        <f t="shared" si="33"/>
        <v>15990</v>
      </c>
      <c r="J164" s="163">
        <f t="shared" si="34"/>
        <v>4.915526586568746</v>
      </c>
      <c r="K164" s="23">
        <f t="shared" si="35"/>
        <v>78599.27011923425</v>
      </c>
      <c r="M164" s="287">
        <v>0.14106382978723406</v>
      </c>
      <c r="N164" s="104">
        <f t="shared" si="36"/>
        <v>2255.6106382978724</v>
      </c>
      <c r="O164" s="21">
        <f t="shared" si="37"/>
        <v>4148.275787440615</v>
      </c>
      <c r="P164" s="21">
        <f t="shared" si="38"/>
        <v>0.2594293800775869</v>
      </c>
      <c r="R164" s="287" t="str">
        <f t="shared" si="39"/>
        <v>N</v>
      </c>
      <c r="S164" s="23">
        <f t="shared" si="40"/>
        <v>0</v>
      </c>
      <c r="T164" s="23">
        <f t="shared" si="41"/>
        <v>0</v>
      </c>
      <c r="V164" s="164">
        <f t="shared" si="42"/>
        <v>5.174955966646333</v>
      </c>
      <c r="W164" s="164">
        <f t="shared" si="43"/>
        <v>82747.54590667486</v>
      </c>
      <c r="Y164" s="165"/>
    </row>
    <row r="165" spans="1:25" ht="15">
      <c r="A165" s="93">
        <v>5206</v>
      </c>
      <c r="B165" s="167" t="s">
        <v>422</v>
      </c>
      <c r="C165" s="128" t="s">
        <v>155</v>
      </c>
      <c r="D165" s="93"/>
      <c r="E165" s="219">
        <v>15405</v>
      </c>
      <c r="F165" s="219">
        <v>10920</v>
      </c>
      <c r="G165" s="298">
        <v>12600</v>
      </c>
      <c r="H165" s="223">
        <f t="shared" si="33"/>
        <v>38925</v>
      </c>
      <c r="J165" s="163">
        <f t="shared" si="34"/>
        <v>4.915526586568746</v>
      </c>
      <c r="K165" s="23">
        <f t="shared" si="35"/>
        <v>191336.87238218845</v>
      </c>
      <c r="M165" s="287">
        <v>0.2551020408163266</v>
      </c>
      <c r="N165" s="104">
        <f t="shared" si="36"/>
        <v>9929.846938775512</v>
      </c>
      <c r="O165" s="21">
        <f t="shared" si="37"/>
        <v>18261.9034197311</v>
      </c>
      <c r="P165" s="21">
        <f t="shared" si="38"/>
        <v>0.4691561572185254</v>
      </c>
      <c r="R165" s="287" t="str">
        <f t="shared" si="39"/>
        <v>Y</v>
      </c>
      <c r="S165" s="23">
        <f t="shared" si="40"/>
        <v>0.30354460766261576</v>
      </c>
      <c r="T165" s="23">
        <f t="shared" si="41"/>
        <v>11815.473853267318</v>
      </c>
      <c r="V165" s="164">
        <f t="shared" si="42"/>
        <v>5.688227351449887</v>
      </c>
      <c r="W165" s="164">
        <f t="shared" si="43"/>
        <v>221414.24965518687</v>
      </c>
      <c r="Y165" s="165"/>
    </row>
    <row r="166" spans="1:25" ht="15">
      <c r="A166" s="93">
        <v>2084</v>
      </c>
      <c r="B166" s="167" t="s">
        <v>29</v>
      </c>
      <c r="C166" s="128" t="s">
        <v>155</v>
      </c>
      <c r="D166" s="93"/>
      <c r="E166" s="219">
        <v>15600</v>
      </c>
      <c r="F166" s="219">
        <v>11115</v>
      </c>
      <c r="G166" s="298">
        <v>12600</v>
      </c>
      <c r="H166" s="223">
        <f t="shared" si="33"/>
        <v>39315</v>
      </c>
      <c r="J166" s="163">
        <f t="shared" si="34"/>
        <v>4.915526586568746</v>
      </c>
      <c r="K166" s="23">
        <f t="shared" si="35"/>
        <v>193253.92775095027</v>
      </c>
      <c r="M166" s="287">
        <v>0.295966386554622</v>
      </c>
      <c r="N166" s="104">
        <f t="shared" si="36"/>
        <v>11635.918487394963</v>
      </c>
      <c r="O166" s="21">
        <f t="shared" si="37"/>
        <v>21399.52618875653</v>
      </c>
      <c r="P166" s="21">
        <f t="shared" si="38"/>
        <v>0.5443094541207307</v>
      </c>
      <c r="R166" s="287" t="str">
        <f t="shared" si="39"/>
        <v>Y</v>
      </c>
      <c r="S166" s="23">
        <f t="shared" si="40"/>
        <v>0.30354460766261576</v>
      </c>
      <c r="T166" s="23">
        <f t="shared" si="41"/>
        <v>11933.856250255738</v>
      </c>
      <c r="V166" s="164">
        <f t="shared" si="42"/>
        <v>5.763380648352093</v>
      </c>
      <c r="W166" s="164">
        <f t="shared" si="43"/>
        <v>226587.31018996253</v>
      </c>
      <c r="Y166" s="165"/>
    </row>
    <row r="167" spans="1:25" ht="15">
      <c r="A167" s="10">
        <v>2010</v>
      </c>
      <c r="B167" s="167" t="s">
        <v>423</v>
      </c>
      <c r="C167" s="128" t="s">
        <v>155</v>
      </c>
      <c r="D167" s="93"/>
      <c r="E167" s="219">
        <v>12870</v>
      </c>
      <c r="F167" s="219">
        <v>12090</v>
      </c>
      <c r="G167" s="298">
        <v>12240</v>
      </c>
      <c r="H167" s="223">
        <f t="shared" si="33"/>
        <v>37200</v>
      </c>
      <c r="J167" s="163">
        <f t="shared" si="34"/>
        <v>4.915526586568746</v>
      </c>
      <c r="K167" s="23">
        <f t="shared" si="35"/>
        <v>182857.58902035735</v>
      </c>
      <c r="M167" s="287">
        <v>0.2758999999999998</v>
      </c>
      <c r="N167" s="104">
        <f t="shared" si="36"/>
        <v>10263.479999999992</v>
      </c>
      <c r="O167" s="21">
        <f t="shared" si="37"/>
        <v>18875.48535903761</v>
      </c>
      <c r="P167" s="21">
        <f t="shared" si="38"/>
        <v>0.5074055204042369</v>
      </c>
      <c r="R167" s="287" t="str">
        <f t="shared" si="39"/>
        <v>Y</v>
      </c>
      <c r="S167" s="23">
        <f t="shared" si="40"/>
        <v>0.30354460766261576</v>
      </c>
      <c r="T167" s="23">
        <f t="shared" si="41"/>
        <v>11291.859405049307</v>
      </c>
      <c r="V167" s="164">
        <f t="shared" si="42"/>
        <v>5.726476714635599</v>
      </c>
      <c r="W167" s="164">
        <f t="shared" si="43"/>
        <v>213024.93378444426</v>
      </c>
      <c r="Y167" s="165"/>
    </row>
    <row r="168" spans="1:25" ht="15">
      <c r="A168" s="10">
        <v>2012</v>
      </c>
      <c r="B168" s="167" t="s">
        <v>424</v>
      </c>
      <c r="C168" s="128" t="s">
        <v>155</v>
      </c>
      <c r="D168" s="93"/>
      <c r="E168" s="219">
        <v>13650</v>
      </c>
      <c r="F168" s="219">
        <v>9945</v>
      </c>
      <c r="G168" s="298">
        <v>12420</v>
      </c>
      <c r="H168" s="223">
        <f t="shared" si="33"/>
        <v>36015</v>
      </c>
      <c r="J168" s="163">
        <f t="shared" si="34"/>
        <v>4.915526586568746</v>
      </c>
      <c r="K168" s="23">
        <f t="shared" si="35"/>
        <v>177032.6900152734</v>
      </c>
      <c r="M168" s="287">
        <v>0.15199999999999983</v>
      </c>
      <c r="N168" s="104">
        <f t="shared" si="36"/>
        <v>5474.279999999994</v>
      </c>
      <c r="O168" s="21">
        <f t="shared" si="37"/>
        <v>10067.705299885847</v>
      </c>
      <c r="P168" s="21">
        <f t="shared" si="38"/>
        <v>0.27954200471708585</v>
      </c>
      <c r="R168" s="287" t="str">
        <f t="shared" si="39"/>
        <v>N</v>
      </c>
      <c r="S168" s="23">
        <f t="shared" si="40"/>
        <v>0</v>
      </c>
      <c r="T168" s="23">
        <f t="shared" si="41"/>
        <v>0</v>
      </c>
      <c r="V168" s="164">
        <f t="shared" si="42"/>
        <v>5.195068591285832</v>
      </c>
      <c r="W168" s="164">
        <f t="shared" si="43"/>
        <v>187100.39531515926</v>
      </c>
      <c r="Y168" s="165"/>
    </row>
    <row r="169" spans="1:25" ht="15">
      <c r="A169" s="93">
        <v>3410</v>
      </c>
      <c r="B169" s="167" t="s">
        <v>425</v>
      </c>
      <c r="C169" s="128" t="s">
        <v>155</v>
      </c>
      <c r="D169" s="93"/>
      <c r="E169" s="219">
        <v>9750</v>
      </c>
      <c r="F169" s="219">
        <v>6045</v>
      </c>
      <c r="G169" s="298">
        <v>9000</v>
      </c>
      <c r="H169" s="223">
        <f t="shared" si="33"/>
        <v>24795</v>
      </c>
      <c r="J169" s="163">
        <f t="shared" si="34"/>
        <v>4.915526586568746</v>
      </c>
      <c r="K169" s="23">
        <f t="shared" si="35"/>
        <v>121880.48171397207</v>
      </c>
      <c r="M169" s="287">
        <v>0.25600000000000006</v>
      </c>
      <c r="N169" s="104">
        <f t="shared" si="36"/>
        <v>6347.520000000001</v>
      </c>
      <c r="O169" s="21">
        <f t="shared" si="37"/>
        <v>11673.67411698552</v>
      </c>
      <c r="P169" s="21">
        <f t="shared" si="38"/>
        <v>0.47080758689193464</v>
      </c>
      <c r="R169" s="287" t="str">
        <f t="shared" si="39"/>
        <v>Y</v>
      </c>
      <c r="S169" s="23">
        <f t="shared" si="40"/>
        <v>0.30354460766261576</v>
      </c>
      <c r="T169" s="23">
        <f t="shared" si="41"/>
        <v>7526.388546994558</v>
      </c>
      <c r="V169" s="164">
        <f t="shared" si="42"/>
        <v>5.689878781123297</v>
      </c>
      <c r="W169" s="164">
        <f t="shared" si="43"/>
        <v>141080.54437795214</v>
      </c>
      <c r="Y169" s="165"/>
    </row>
    <row r="170" spans="1:25" ht="15">
      <c r="A170" s="93">
        <v>2078</v>
      </c>
      <c r="B170" s="167" t="s">
        <v>426</v>
      </c>
      <c r="C170" s="128" t="s">
        <v>155</v>
      </c>
      <c r="D170" s="93"/>
      <c r="E170" s="219">
        <v>23400</v>
      </c>
      <c r="F170" s="219">
        <v>17940</v>
      </c>
      <c r="G170" s="298">
        <v>21780</v>
      </c>
      <c r="H170" s="223">
        <f t="shared" si="33"/>
        <v>63120</v>
      </c>
      <c r="J170" s="163">
        <f t="shared" si="34"/>
        <v>4.915526586568746</v>
      </c>
      <c r="K170" s="23">
        <f t="shared" si="35"/>
        <v>310268.03814421926</v>
      </c>
      <c r="M170" s="287">
        <v>0.2804545454545454</v>
      </c>
      <c r="N170" s="104">
        <f t="shared" si="36"/>
        <v>17702.290909090905</v>
      </c>
      <c r="O170" s="21">
        <f t="shared" si="37"/>
        <v>32556.144005344217</v>
      </c>
      <c r="P170" s="21">
        <f t="shared" si="38"/>
        <v>0.5157817491340972</v>
      </c>
      <c r="R170" s="287" t="str">
        <f t="shared" si="39"/>
        <v>Y</v>
      </c>
      <c r="S170" s="23">
        <f t="shared" si="40"/>
        <v>0.30354460766261576</v>
      </c>
      <c r="T170" s="23">
        <f t="shared" si="41"/>
        <v>19159.735635664307</v>
      </c>
      <c r="V170" s="164">
        <f t="shared" si="42"/>
        <v>5.73485294336546</v>
      </c>
      <c r="W170" s="164">
        <f t="shared" si="43"/>
        <v>361983.91778522776</v>
      </c>
      <c r="Y170" s="165"/>
    </row>
    <row r="171" spans="1:25" ht="15">
      <c r="A171" s="10">
        <v>2016</v>
      </c>
      <c r="B171" s="167" t="s">
        <v>427</v>
      </c>
      <c r="C171" s="128" t="s">
        <v>155</v>
      </c>
      <c r="D171" s="93"/>
      <c r="E171" s="219">
        <v>17355</v>
      </c>
      <c r="F171" s="219">
        <v>13650</v>
      </c>
      <c r="G171" s="298">
        <v>15300</v>
      </c>
      <c r="H171" s="223">
        <f t="shared" si="33"/>
        <v>46305</v>
      </c>
      <c r="J171" s="163">
        <f t="shared" si="34"/>
        <v>4.915526586568746</v>
      </c>
      <c r="K171" s="23">
        <f t="shared" si="35"/>
        <v>227613.4585910658</v>
      </c>
      <c r="M171" s="287">
        <v>0.16814516129032267</v>
      </c>
      <c r="N171" s="104">
        <f t="shared" si="36"/>
        <v>7785.961693548391</v>
      </c>
      <c r="O171" s="21">
        <f t="shared" si="37"/>
        <v>14319.100924111553</v>
      </c>
      <c r="P171" s="21">
        <f t="shared" si="38"/>
        <v>0.3092344438853591</v>
      </c>
      <c r="R171" s="287" t="str">
        <f t="shared" si="39"/>
        <v>N</v>
      </c>
      <c r="S171" s="23">
        <f t="shared" si="40"/>
        <v>0</v>
      </c>
      <c r="T171" s="23">
        <f t="shared" si="41"/>
        <v>0</v>
      </c>
      <c r="V171" s="164">
        <f t="shared" si="42"/>
        <v>5.224761030454105</v>
      </c>
      <c r="W171" s="164">
        <f t="shared" si="43"/>
        <v>241932.55951517736</v>
      </c>
      <c r="Y171" s="165"/>
    </row>
    <row r="172" spans="1:25" ht="15">
      <c r="A172" s="93">
        <v>3307</v>
      </c>
      <c r="B172" s="167" t="s">
        <v>428</v>
      </c>
      <c r="C172" s="128" t="s">
        <v>155</v>
      </c>
      <c r="D172" s="93"/>
      <c r="E172" s="219">
        <v>7995</v>
      </c>
      <c r="F172" s="219">
        <v>11115</v>
      </c>
      <c r="G172" s="298">
        <v>7380</v>
      </c>
      <c r="H172" s="223">
        <f t="shared" si="33"/>
        <v>26490</v>
      </c>
      <c r="J172" s="163">
        <f t="shared" si="34"/>
        <v>4.915526586568746</v>
      </c>
      <c r="K172" s="23">
        <f t="shared" si="35"/>
        <v>130212.29927820609</v>
      </c>
      <c r="M172" s="287">
        <v>0.26785714285714296</v>
      </c>
      <c r="N172" s="104">
        <f t="shared" si="36"/>
        <v>7095.535714285717</v>
      </c>
      <c r="O172" s="21">
        <f t="shared" si="37"/>
        <v>13049.343934954679</v>
      </c>
      <c r="P172" s="21">
        <f t="shared" si="38"/>
        <v>0.4926139650794518</v>
      </c>
      <c r="R172" s="287" t="str">
        <f t="shared" si="39"/>
        <v>Y</v>
      </c>
      <c r="S172" s="23">
        <f t="shared" si="40"/>
        <v>0.30354460766261576</v>
      </c>
      <c r="T172" s="23">
        <f t="shared" si="41"/>
        <v>8040.896656982692</v>
      </c>
      <c r="V172" s="164">
        <f t="shared" si="42"/>
        <v>5.7116851593108136</v>
      </c>
      <c r="W172" s="164">
        <f t="shared" si="43"/>
        <v>151302.53987014346</v>
      </c>
      <c r="Y172" s="165"/>
    </row>
    <row r="173" spans="1:25" ht="15">
      <c r="A173" s="10">
        <v>2019</v>
      </c>
      <c r="B173" s="167" t="s">
        <v>429</v>
      </c>
      <c r="C173" s="128" t="s">
        <v>155</v>
      </c>
      <c r="D173" s="93"/>
      <c r="E173" s="219">
        <v>23400</v>
      </c>
      <c r="F173" s="219">
        <v>17355</v>
      </c>
      <c r="G173" s="298">
        <v>21600</v>
      </c>
      <c r="H173" s="223">
        <f t="shared" si="33"/>
        <v>62355</v>
      </c>
      <c r="J173" s="163">
        <f t="shared" si="34"/>
        <v>4.915526586568746</v>
      </c>
      <c r="K173" s="23">
        <f t="shared" si="35"/>
        <v>306507.66030549415</v>
      </c>
      <c r="M173" s="287">
        <v>0.1444444444444445</v>
      </c>
      <c r="N173" s="104">
        <f t="shared" si="36"/>
        <v>9006.833333333336</v>
      </c>
      <c r="O173" s="21">
        <f t="shared" si="37"/>
        <v>16564.396356267604</v>
      </c>
      <c r="P173" s="21">
        <f t="shared" si="38"/>
        <v>0.2656466419095117</v>
      </c>
      <c r="R173" s="287" t="str">
        <f t="shared" si="39"/>
        <v>N</v>
      </c>
      <c r="S173" s="23">
        <f t="shared" si="40"/>
        <v>0</v>
      </c>
      <c r="T173" s="23">
        <f t="shared" si="41"/>
        <v>0</v>
      </c>
      <c r="V173" s="164">
        <f t="shared" si="42"/>
        <v>5.181173228478258</v>
      </c>
      <c r="W173" s="164">
        <f t="shared" si="43"/>
        <v>323072.0566617618</v>
      </c>
      <c r="Y173" s="165"/>
    </row>
    <row r="174" spans="1:25" ht="15">
      <c r="A174" s="10">
        <v>2076</v>
      </c>
      <c r="B174" s="167" t="s">
        <v>430</v>
      </c>
      <c r="C174" s="128" t="s">
        <v>155</v>
      </c>
      <c r="D174" s="93"/>
      <c r="E174" s="219">
        <v>7410</v>
      </c>
      <c r="F174" s="219">
        <v>4485</v>
      </c>
      <c r="G174" s="298">
        <v>4860</v>
      </c>
      <c r="H174" s="223">
        <f t="shared" si="33"/>
        <v>16755</v>
      </c>
      <c r="J174" s="163">
        <f t="shared" si="34"/>
        <v>4.915526586568746</v>
      </c>
      <c r="K174" s="23">
        <f t="shared" si="35"/>
        <v>82359.64795795934</v>
      </c>
      <c r="M174" s="287">
        <v>0.12509433962264155</v>
      </c>
      <c r="N174" s="104">
        <f t="shared" si="36"/>
        <v>2095.955660377359</v>
      </c>
      <c r="O174" s="21">
        <f t="shared" si="37"/>
        <v>3854.6555730263885</v>
      </c>
      <c r="P174" s="21">
        <f t="shared" si="38"/>
        <v>0.23006001629521866</v>
      </c>
      <c r="R174" s="287" t="str">
        <f t="shared" si="39"/>
        <v>N</v>
      </c>
      <c r="S174" s="23">
        <f t="shared" si="40"/>
        <v>0</v>
      </c>
      <c r="T174" s="23">
        <f t="shared" si="41"/>
        <v>0</v>
      </c>
      <c r="V174" s="164">
        <f t="shared" si="42"/>
        <v>5.145586602863965</v>
      </c>
      <c r="W174" s="164">
        <f t="shared" si="43"/>
        <v>86214.30353098574</v>
      </c>
      <c r="Y174" s="165"/>
    </row>
    <row r="175" spans="1:25" ht="15">
      <c r="A175" s="93">
        <v>2020</v>
      </c>
      <c r="B175" s="167" t="s">
        <v>431</v>
      </c>
      <c r="C175" s="128" t="s">
        <v>155</v>
      </c>
      <c r="D175" s="93"/>
      <c r="E175" s="219">
        <v>10140</v>
      </c>
      <c r="F175" s="219">
        <v>9555</v>
      </c>
      <c r="G175" s="298">
        <v>8640</v>
      </c>
      <c r="H175" s="223">
        <f t="shared" si="33"/>
        <v>28335</v>
      </c>
      <c r="J175" s="163">
        <f t="shared" si="34"/>
        <v>4.915526586568746</v>
      </c>
      <c r="K175" s="23">
        <f t="shared" si="35"/>
        <v>139281.44583042542</v>
      </c>
      <c r="M175" s="287">
        <v>0.1085227272727273</v>
      </c>
      <c r="N175" s="104">
        <f t="shared" si="36"/>
        <v>3074.991477272728</v>
      </c>
      <c r="O175" s="21">
        <f t="shared" si="37"/>
        <v>5655.192645031399</v>
      </c>
      <c r="P175" s="21">
        <f t="shared" si="38"/>
        <v>0.19958329433673544</v>
      </c>
      <c r="R175" s="287" t="str">
        <f t="shared" si="39"/>
        <v>N</v>
      </c>
      <c r="S175" s="23">
        <f t="shared" si="40"/>
        <v>0</v>
      </c>
      <c r="T175" s="23">
        <f t="shared" si="41"/>
        <v>0</v>
      </c>
      <c r="V175" s="164">
        <f t="shared" si="42"/>
        <v>5.115109880905481</v>
      </c>
      <c r="W175" s="164">
        <f t="shared" si="43"/>
        <v>144936.63847545683</v>
      </c>
      <c r="Y175" s="165"/>
    </row>
    <row r="176" spans="1:25" ht="15">
      <c r="A176" s="93">
        <v>5203</v>
      </c>
      <c r="B176" s="167" t="s">
        <v>432</v>
      </c>
      <c r="C176" s="128" t="s">
        <v>155</v>
      </c>
      <c r="D176" s="93"/>
      <c r="E176" s="219">
        <v>21645</v>
      </c>
      <c r="F176" s="219">
        <v>16185</v>
      </c>
      <c r="G176" s="298">
        <v>19260</v>
      </c>
      <c r="H176" s="223">
        <f t="shared" si="33"/>
        <v>57090</v>
      </c>
      <c r="J176" s="163">
        <f t="shared" si="34"/>
        <v>4.915526586568746</v>
      </c>
      <c r="K176" s="23">
        <f t="shared" si="35"/>
        <v>280627.41282720974</v>
      </c>
      <c r="M176" s="287">
        <v>0.23193103448275867</v>
      </c>
      <c r="N176" s="104">
        <f t="shared" si="36"/>
        <v>13240.942758620693</v>
      </c>
      <c r="O176" s="21">
        <f t="shared" si="37"/>
        <v>24351.313704532982</v>
      </c>
      <c r="P176" s="21">
        <f t="shared" si="38"/>
        <v>0.4265425416803815</v>
      </c>
      <c r="R176" s="287" t="str">
        <f t="shared" si="39"/>
        <v>N</v>
      </c>
      <c r="S176" s="23">
        <f t="shared" si="40"/>
        <v>0</v>
      </c>
      <c r="T176" s="23">
        <f t="shared" si="41"/>
        <v>0</v>
      </c>
      <c r="V176" s="164">
        <f t="shared" si="42"/>
        <v>5.342069128249128</v>
      </c>
      <c r="W176" s="164">
        <f t="shared" si="43"/>
        <v>304978.7265317427</v>
      </c>
      <c r="Y176" s="165"/>
    </row>
    <row r="177" spans="1:25" ht="15">
      <c r="A177" s="93">
        <v>4654</v>
      </c>
      <c r="B177" s="167" t="s">
        <v>47</v>
      </c>
      <c r="C177" s="128" t="s">
        <v>155</v>
      </c>
      <c r="D177" s="93"/>
      <c r="E177" s="219">
        <v>11700</v>
      </c>
      <c r="F177" s="219">
        <v>11505</v>
      </c>
      <c r="G177" s="298">
        <v>10800</v>
      </c>
      <c r="H177" s="223">
        <f t="shared" si="33"/>
        <v>34005</v>
      </c>
      <c r="J177" s="163">
        <f t="shared" si="34"/>
        <v>4.915526586568746</v>
      </c>
      <c r="K177" s="23">
        <f t="shared" si="35"/>
        <v>167152.48157627022</v>
      </c>
      <c r="M177" s="287">
        <v>0.24804347826086953</v>
      </c>
      <c r="N177" s="104">
        <f t="shared" si="36"/>
        <v>8434.71847826087</v>
      </c>
      <c r="O177" s="21">
        <f t="shared" si="37"/>
        <v>15512.224425245351</v>
      </c>
      <c r="P177" s="21">
        <f t="shared" si="38"/>
        <v>0.45617481032922663</v>
      </c>
      <c r="R177" s="287" t="str">
        <f t="shared" si="39"/>
        <v>N</v>
      </c>
      <c r="S177" s="23">
        <f t="shared" si="40"/>
        <v>0</v>
      </c>
      <c r="T177" s="23">
        <f t="shared" si="41"/>
        <v>0</v>
      </c>
      <c r="V177" s="164">
        <f t="shared" si="42"/>
        <v>5.371701396897973</v>
      </c>
      <c r="W177" s="164">
        <f t="shared" si="43"/>
        <v>182664.70600151556</v>
      </c>
      <c r="Y177" s="165"/>
    </row>
    <row r="178" spans="1:25" ht="15">
      <c r="A178" s="93">
        <v>2024</v>
      </c>
      <c r="B178" s="167" t="s">
        <v>433</v>
      </c>
      <c r="C178" s="128" t="s">
        <v>155</v>
      </c>
      <c r="D178" s="93"/>
      <c r="E178" s="219">
        <v>8775</v>
      </c>
      <c r="F178" s="219">
        <v>8580</v>
      </c>
      <c r="G178" s="298">
        <v>9720</v>
      </c>
      <c r="H178" s="223">
        <f t="shared" si="33"/>
        <v>27075</v>
      </c>
      <c r="J178" s="163">
        <f t="shared" si="34"/>
        <v>4.915526586568746</v>
      </c>
      <c r="K178" s="23">
        <f t="shared" si="35"/>
        <v>133087.8823313488</v>
      </c>
      <c r="M178" s="287">
        <v>0.1832926829268291</v>
      </c>
      <c r="N178" s="104">
        <f t="shared" si="36"/>
        <v>4962.649390243898</v>
      </c>
      <c r="O178" s="21">
        <f t="shared" si="37"/>
        <v>9126.769468794766</v>
      </c>
      <c r="P178" s="21">
        <f t="shared" si="38"/>
        <v>0.33709213181144104</v>
      </c>
      <c r="R178" s="287" t="str">
        <f t="shared" si="39"/>
        <v>N</v>
      </c>
      <c r="S178" s="23">
        <f t="shared" si="40"/>
        <v>0</v>
      </c>
      <c r="T178" s="23">
        <f t="shared" si="41"/>
        <v>0</v>
      </c>
      <c r="V178" s="164">
        <f t="shared" si="42"/>
        <v>5.252618718380187</v>
      </c>
      <c r="W178" s="164">
        <f t="shared" si="43"/>
        <v>142214.6518001436</v>
      </c>
      <c r="Y178" s="165"/>
    </row>
    <row r="179" spans="1:25" ht="15">
      <c r="A179" s="93">
        <v>2025</v>
      </c>
      <c r="B179" s="167" t="s">
        <v>434</v>
      </c>
      <c r="C179" s="128" t="s">
        <v>155</v>
      </c>
      <c r="D179" s="93"/>
      <c r="E179" s="219">
        <v>9945</v>
      </c>
      <c r="F179" s="219">
        <v>7800</v>
      </c>
      <c r="G179" s="298">
        <v>7200</v>
      </c>
      <c r="H179" s="223">
        <f t="shared" si="33"/>
        <v>24945</v>
      </c>
      <c r="J179" s="163">
        <f t="shared" si="34"/>
        <v>4.915526586568746</v>
      </c>
      <c r="K179" s="23">
        <f t="shared" si="35"/>
        <v>122617.81070195738</v>
      </c>
      <c r="M179" s="287">
        <v>0.14842105263157893</v>
      </c>
      <c r="N179" s="104">
        <f t="shared" si="36"/>
        <v>3702.363157894736</v>
      </c>
      <c r="O179" s="21">
        <f t="shared" si="37"/>
        <v>6808.986969398527</v>
      </c>
      <c r="P179" s="21">
        <f t="shared" si="38"/>
        <v>0.2729599907556034</v>
      </c>
      <c r="R179" s="287" t="str">
        <f t="shared" si="39"/>
        <v>N</v>
      </c>
      <c r="S179" s="23">
        <f t="shared" si="40"/>
        <v>0</v>
      </c>
      <c r="T179" s="23">
        <f t="shared" si="41"/>
        <v>0</v>
      </c>
      <c r="V179" s="164">
        <f t="shared" si="42"/>
        <v>5.188486577324349</v>
      </c>
      <c r="W179" s="164">
        <f t="shared" si="43"/>
        <v>129426.7976713559</v>
      </c>
      <c r="Y179" s="165"/>
    </row>
    <row r="180" spans="1:25" ht="15">
      <c r="A180" s="93">
        <v>2026</v>
      </c>
      <c r="B180" s="167" t="s">
        <v>435</v>
      </c>
      <c r="C180" s="128" t="s">
        <v>155</v>
      </c>
      <c r="D180" s="93"/>
      <c r="E180" s="219">
        <v>5460</v>
      </c>
      <c r="F180" s="219">
        <v>3900</v>
      </c>
      <c r="G180" s="298">
        <v>3600</v>
      </c>
      <c r="H180" s="223">
        <f t="shared" si="33"/>
        <v>12960</v>
      </c>
      <c r="J180" s="163">
        <f t="shared" si="34"/>
        <v>4.915526586568746</v>
      </c>
      <c r="K180" s="23">
        <f t="shared" si="35"/>
        <v>63705.224561930954</v>
      </c>
      <c r="M180" s="287">
        <v>0.2607317073170731</v>
      </c>
      <c r="N180" s="104">
        <f t="shared" si="36"/>
        <v>3379.0829268292678</v>
      </c>
      <c r="O180" s="21">
        <f t="shared" si="37"/>
        <v>6214.444838625871</v>
      </c>
      <c r="P180" s="21">
        <f t="shared" si="38"/>
        <v>0.4795096326100209</v>
      </c>
      <c r="R180" s="287" t="str">
        <f t="shared" si="39"/>
        <v>Y</v>
      </c>
      <c r="S180" s="23">
        <f t="shared" si="40"/>
        <v>0.30354460766261576</v>
      </c>
      <c r="T180" s="23">
        <f t="shared" si="41"/>
        <v>3933.9381153075</v>
      </c>
      <c r="V180" s="164">
        <f t="shared" si="42"/>
        <v>5.698580826841383</v>
      </c>
      <c r="W180" s="164">
        <f t="shared" si="43"/>
        <v>73853.60751586432</v>
      </c>
      <c r="Y180" s="165"/>
    </row>
    <row r="181" spans="1:25" ht="15">
      <c r="A181" s="93">
        <v>5211</v>
      </c>
      <c r="B181" s="167" t="s">
        <v>436</v>
      </c>
      <c r="C181" s="128" t="s">
        <v>155</v>
      </c>
      <c r="D181" s="93"/>
      <c r="E181" s="219">
        <v>17355</v>
      </c>
      <c r="F181" s="219">
        <v>15405</v>
      </c>
      <c r="G181" s="298">
        <v>16200</v>
      </c>
      <c r="H181" s="223">
        <f t="shared" si="33"/>
        <v>48960</v>
      </c>
      <c r="J181" s="163">
        <f t="shared" si="34"/>
        <v>4.915526586568746</v>
      </c>
      <c r="K181" s="23">
        <f t="shared" si="35"/>
        <v>240664.18167840582</v>
      </c>
      <c r="M181" s="287">
        <v>0.20552238805970174</v>
      </c>
      <c r="N181" s="104">
        <f t="shared" si="36"/>
        <v>10062.376119402998</v>
      </c>
      <c r="O181" s="21">
        <f t="shared" si="37"/>
        <v>18505.636793652946</v>
      </c>
      <c r="P181" s="21">
        <f t="shared" si="38"/>
        <v>0.3779746077134997</v>
      </c>
      <c r="R181" s="287" t="str">
        <f t="shared" si="39"/>
        <v>N</v>
      </c>
      <c r="S181" s="23">
        <f t="shared" si="40"/>
        <v>0</v>
      </c>
      <c r="T181" s="23">
        <f t="shared" si="41"/>
        <v>0</v>
      </c>
      <c r="V181" s="164">
        <f t="shared" si="42"/>
        <v>5.293501194282246</v>
      </c>
      <c r="W181" s="164">
        <f t="shared" si="43"/>
        <v>259169.81847205877</v>
      </c>
      <c r="Y181" s="165"/>
    </row>
    <row r="182" spans="1:25" ht="15">
      <c r="A182" s="93">
        <v>2029</v>
      </c>
      <c r="B182" s="167" t="s">
        <v>437</v>
      </c>
      <c r="C182" s="128" t="s">
        <v>155</v>
      </c>
      <c r="D182" s="93"/>
      <c r="E182" s="219">
        <v>7800</v>
      </c>
      <c r="F182" s="219">
        <v>7800</v>
      </c>
      <c r="G182" s="298">
        <v>7740</v>
      </c>
      <c r="H182" s="223">
        <f t="shared" si="33"/>
        <v>23340</v>
      </c>
      <c r="J182" s="163">
        <f t="shared" si="34"/>
        <v>4.915526586568746</v>
      </c>
      <c r="K182" s="23">
        <f t="shared" si="35"/>
        <v>114728.39053051455</v>
      </c>
      <c r="M182" s="287">
        <v>0.21086956521739134</v>
      </c>
      <c r="N182" s="104">
        <f t="shared" si="36"/>
        <v>4921.695652173914</v>
      </c>
      <c r="O182" s="21">
        <f t="shared" si="37"/>
        <v>9051.451771158307</v>
      </c>
      <c r="P182" s="21">
        <f t="shared" si="38"/>
        <v>0.38780855917559154</v>
      </c>
      <c r="R182" s="287" t="str">
        <f t="shared" si="39"/>
        <v>N</v>
      </c>
      <c r="S182" s="23">
        <f t="shared" si="40"/>
        <v>0</v>
      </c>
      <c r="T182" s="23">
        <f t="shared" si="41"/>
        <v>0</v>
      </c>
      <c r="V182" s="164">
        <f t="shared" si="42"/>
        <v>5.303335145744338</v>
      </c>
      <c r="W182" s="164">
        <f t="shared" si="43"/>
        <v>123779.84230167285</v>
      </c>
      <c r="Y182" s="165"/>
    </row>
    <row r="183" spans="1:25" ht="15">
      <c r="A183" s="93">
        <v>2061</v>
      </c>
      <c r="B183" s="167" t="s">
        <v>438</v>
      </c>
      <c r="C183" s="128" t="s">
        <v>155</v>
      </c>
      <c r="D183" s="93"/>
      <c r="E183" s="219">
        <v>8190</v>
      </c>
      <c r="F183" s="219">
        <v>5460</v>
      </c>
      <c r="G183" s="298">
        <v>7560</v>
      </c>
      <c r="H183" s="223">
        <f t="shared" si="33"/>
        <v>21210</v>
      </c>
      <c r="J183" s="163">
        <f t="shared" si="34"/>
        <v>4.915526586568746</v>
      </c>
      <c r="K183" s="23">
        <f t="shared" si="35"/>
        <v>104258.31890112312</v>
      </c>
      <c r="M183" s="287">
        <v>0.1688888888888889</v>
      </c>
      <c r="N183" s="104">
        <f t="shared" si="36"/>
        <v>3582.1333333333337</v>
      </c>
      <c r="O183" s="21">
        <f t="shared" si="37"/>
        <v>6587.87324449933</v>
      </c>
      <c r="P183" s="21">
        <f t="shared" si="38"/>
        <v>0.310602227463429</v>
      </c>
      <c r="R183" s="287" t="str">
        <f t="shared" si="39"/>
        <v>N</v>
      </c>
      <c r="S183" s="23">
        <f t="shared" si="40"/>
        <v>0</v>
      </c>
      <c r="T183" s="23">
        <f t="shared" si="41"/>
        <v>0</v>
      </c>
      <c r="V183" s="164">
        <f t="shared" si="42"/>
        <v>5.226128814032175</v>
      </c>
      <c r="W183" s="164">
        <f t="shared" si="43"/>
        <v>110846.19214562245</v>
      </c>
      <c r="Y183" s="165"/>
    </row>
    <row r="184" spans="1:25" ht="15">
      <c r="A184" s="93">
        <v>2021</v>
      </c>
      <c r="B184" s="167" t="s">
        <v>439</v>
      </c>
      <c r="C184" s="128" t="s">
        <v>155</v>
      </c>
      <c r="D184" s="93"/>
      <c r="E184" s="219">
        <v>13845</v>
      </c>
      <c r="F184" s="219">
        <v>7995</v>
      </c>
      <c r="G184" s="298">
        <v>10620</v>
      </c>
      <c r="H184" s="223">
        <f t="shared" si="33"/>
        <v>32460</v>
      </c>
      <c r="J184" s="163">
        <f t="shared" si="34"/>
        <v>4.915526586568746</v>
      </c>
      <c r="K184" s="23">
        <f t="shared" si="35"/>
        <v>159557.9930000215</v>
      </c>
      <c r="M184" s="287">
        <v>0.2542857142857142</v>
      </c>
      <c r="N184" s="104">
        <f t="shared" si="36"/>
        <v>8254.114285714284</v>
      </c>
      <c r="O184" s="21">
        <f t="shared" si="37"/>
        <v>15180.076674950726</v>
      </c>
      <c r="P184" s="21">
        <f t="shared" si="38"/>
        <v>0.4676548575154259</v>
      </c>
      <c r="R184" s="287" t="str">
        <f t="shared" si="39"/>
        <v>Y</v>
      </c>
      <c r="S184" s="23">
        <f t="shared" si="40"/>
        <v>0.30354460766261576</v>
      </c>
      <c r="T184" s="23">
        <f t="shared" si="41"/>
        <v>9853.057964728509</v>
      </c>
      <c r="V184" s="164">
        <f t="shared" si="42"/>
        <v>5.686726051746788</v>
      </c>
      <c r="W184" s="164">
        <f t="shared" si="43"/>
        <v>184591.12763970072</v>
      </c>
      <c r="Y184" s="165"/>
    </row>
    <row r="185" spans="1:25" ht="15">
      <c r="A185" s="93">
        <v>2063</v>
      </c>
      <c r="B185" s="167" t="s">
        <v>440</v>
      </c>
      <c r="C185" s="128" t="s">
        <v>155</v>
      </c>
      <c r="D185" s="93"/>
      <c r="E185" s="219">
        <v>5265</v>
      </c>
      <c r="F185" s="219">
        <v>2340</v>
      </c>
      <c r="G185" s="298">
        <v>2520</v>
      </c>
      <c r="H185" s="223">
        <f t="shared" si="33"/>
        <v>10125</v>
      </c>
      <c r="J185" s="163">
        <f t="shared" si="34"/>
        <v>4.915526586568746</v>
      </c>
      <c r="K185" s="23">
        <f t="shared" si="35"/>
        <v>49769.706689008555</v>
      </c>
      <c r="M185" s="287">
        <v>0.24210526315789482</v>
      </c>
      <c r="N185" s="104">
        <f t="shared" si="36"/>
        <v>2451.315789473685</v>
      </c>
      <c r="O185" s="21">
        <f t="shared" si="37"/>
        <v>4508.195592000793</v>
      </c>
      <c r="P185" s="21">
        <f t="shared" si="38"/>
        <v>0.44525388562970797</v>
      </c>
      <c r="R185" s="287" t="str">
        <f t="shared" si="39"/>
        <v>N</v>
      </c>
      <c r="S185" s="23">
        <f t="shared" si="40"/>
        <v>0</v>
      </c>
      <c r="T185" s="23">
        <f t="shared" si="41"/>
        <v>0</v>
      </c>
      <c r="V185" s="164">
        <f t="shared" si="42"/>
        <v>5.360780472198455</v>
      </c>
      <c r="W185" s="164">
        <f t="shared" si="43"/>
        <v>54277.902281009345</v>
      </c>
      <c r="Y185" s="165"/>
    </row>
    <row r="186" spans="1:25" ht="15">
      <c r="A186" s="93">
        <v>2081</v>
      </c>
      <c r="B186" s="167" t="s">
        <v>441</v>
      </c>
      <c r="C186" s="128" t="s">
        <v>155</v>
      </c>
      <c r="D186" s="93"/>
      <c r="E186" s="219">
        <v>11700</v>
      </c>
      <c r="F186" s="219">
        <v>13455</v>
      </c>
      <c r="G186" s="298">
        <v>10620</v>
      </c>
      <c r="H186" s="223">
        <f t="shared" si="33"/>
        <v>35775</v>
      </c>
      <c r="J186" s="163">
        <f t="shared" si="34"/>
        <v>4.915526586568746</v>
      </c>
      <c r="K186" s="23">
        <f t="shared" si="35"/>
        <v>175852.9636344969</v>
      </c>
      <c r="M186" s="287">
        <v>0.2223364485981308</v>
      </c>
      <c r="N186" s="104">
        <f t="shared" si="36"/>
        <v>7954.086448598129</v>
      </c>
      <c r="O186" s="21">
        <f t="shared" si="37"/>
        <v>14628.297839040322</v>
      </c>
      <c r="P186" s="21">
        <f t="shared" si="38"/>
        <v>0.4088972142289398</v>
      </c>
      <c r="R186" s="287" t="str">
        <f t="shared" si="39"/>
        <v>N</v>
      </c>
      <c r="S186" s="23">
        <f t="shared" si="40"/>
        <v>0</v>
      </c>
      <c r="T186" s="23">
        <f t="shared" si="41"/>
        <v>0</v>
      </c>
      <c r="V186" s="164">
        <f t="shared" si="42"/>
        <v>5.324423800797686</v>
      </c>
      <c r="W186" s="164">
        <f t="shared" si="43"/>
        <v>190481.26147353722</v>
      </c>
      <c r="Y186" s="165"/>
    </row>
    <row r="187" spans="1:25" ht="15">
      <c r="A187" s="93">
        <v>5204</v>
      </c>
      <c r="B187" s="167" t="s">
        <v>442</v>
      </c>
      <c r="C187" s="128" t="s">
        <v>155</v>
      </c>
      <c r="D187" s="93"/>
      <c r="E187" s="219">
        <v>12480</v>
      </c>
      <c r="F187" s="219">
        <v>9555</v>
      </c>
      <c r="G187" s="298">
        <v>11700</v>
      </c>
      <c r="H187" s="223">
        <f t="shared" si="33"/>
        <v>33735</v>
      </c>
      <c r="J187" s="163">
        <f t="shared" si="34"/>
        <v>4.915526586568746</v>
      </c>
      <c r="K187" s="23">
        <f t="shared" si="35"/>
        <v>165825.28939789665</v>
      </c>
      <c r="M187" s="287">
        <v>0.1632258064516129</v>
      </c>
      <c r="N187" s="104">
        <f t="shared" si="36"/>
        <v>5506.42258064516</v>
      </c>
      <c r="O187" s="21">
        <f t="shared" si="37"/>
        <v>10126.818467190651</v>
      </c>
      <c r="P187" s="21">
        <f t="shared" si="38"/>
        <v>0.3001872970858352</v>
      </c>
      <c r="R187" s="287" t="str">
        <f t="shared" si="39"/>
        <v>N</v>
      </c>
      <c r="S187" s="23">
        <f t="shared" si="40"/>
        <v>0</v>
      </c>
      <c r="T187" s="23">
        <f t="shared" si="41"/>
        <v>0</v>
      </c>
      <c r="V187" s="164">
        <f t="shared" si="42"/>
        <v>5.2157138836545816</v>
      </c>
      <c r="W187" s="164">
        <f t="shared" si="43"/>
        <v>175952.1078650873</v>
      </c>
      <c r="Y187" s="165"/>
    </row>
    <row r="188" spans="1:25" ht="15">
      <c r="A188" s="10">
        <v>3302</v>
      </c>
      <c r="B188" s="167" t="s">
        <v>443</v>
      </c>
      <c r="C188" s="128" t="s">
        <v>155</v>
      </c>
      <c r="D188" s="93"/>
      <c r="E188" s="219">
        <v>4290</v>
      </c>
      <c r="F188" s="219">
        <v>3900</v>
      </c>
      <c r="G188" s="298">
        <v>3780</v>
      </c>
      <c r="H188" s="223">
        <f t="shared" si="33"/>
        <v>11970</v>
      </c>
      <c r="J188" s="163">
        <f t="shared" si="34"/>
        <v>4.915526586568746</v>
      </c>
      <c r="K188" s="23">
        <f t="shared" si="35"/>
        <v>58838.853241227895</v>
      </c>
      <c r="M188" s="287">
        <v>0.11172413793103447</v>
      </c>
      <c r="N188" s="104">
        <f t="shared" si="36"/>
        <v>1337.3379310344826</v>
      </c>
      <c r="O188" s="21">
        <f t="shared" si="37"/>
        <v>2459.4876725367076</v>
      </c>
      <c r="P188" s="21">
        <f t="shared" si="38"/>
        <v>0.20547098350348433</v>
      </c>
      <c r="R188" s="287" t="str">
        <f t="shared" si="39"/>
        <v>N</v>
      </c>
      <c r="S188" s="23">
        <f t="shared" si="40"/>
        <v>0</v>
      </c>
      <c r="T188" s="23">
        <f t="shared" si="41"/>
        <v>0</v>
      </c>
      <c r="V188" s="164">
        <f t="shared" si="42"/>
        <v>5.12099757007223</v>
      </c>
      <c r="W188" s="164">
        <f t="shared" si="43"/>
        <v>61298.3409137646</v>
      </c>
      <c r="Y188" s="165"/>
    </row>
    <row r="189" spans="1:25" ht="15">
      <c r="A189" s="93">
        <v>2027</v>
      </c>
      <c r="B189" s="299" t="s">
        <v>444</v>
      </c>
      <c r="C189" s="128" t="s">
        <v>155</v>
      </c>
      <c r="D189" s="93"/>
      <c r="E189" s="219">
        <v>10530</v>
      </c>
      <c r="F189" s="219">
        <v>10140</v>
      </c>
      <c r="G189" s="298">
        <v>9720</v>
      </c>
      <c r="H189" s="223">
        <f t="shared" si="33"/>
        <v>30390</v>
      </c>
      <c r="J189" s="163">
        <f t="shared" si="34"/>
        <v>4.915526586568746</v>
      </c>
      <c r="K189" s="23">
        <f t="shared" si="35"/>
        <v>149382.8529658242</v>
      </c>
      <c r="M189" s="287">
        <v>0.221341463414634</v>
      </c>
      <c r="N189" s="104">
        <f t="shared" si="36"/>
        <v>6726.567073170728</v>
      </c>
      <c r="O189" s="21">
        <f t="shared" si="37"/>
        <v>12370.77660854005</v>
      </c>
      <c r="P189" s="21">
        <f t="shared" si="38"/>
        <v>0.4070673448022393</v>
      </c>
      <c r="R189" s="287" t="str">
        <f t="shared" si="39"/>
        <v>N</v>
      </c>
      <c r="S189" s="23">
        <f t="shared" si="40"/>
        <v>0</v>
      </c>
      <c r="T189" s="23">
        <f t="shared" si="41"/>
        <v>0</v>
      </c>
      <c r="V189" s="164">
        <f t="shared" si="42"/>
        <v>5.322593931370985</v>
      </c>
      <c r="W189" s="164">
        <f t="shared" si="43"/>
        <v>161753.62957436423</v>
      </c>
      <c r="Y189" s="165"/>
    </row>
    <row r="190" spans="1:25" ht="15">
      <c r="A190" s="93">
        <v>2033</v>
      </c>
      <c r="B190" s="167" t="s">
        <v>445</v>
      </c>
      <c r="C190" s="128" t="s">
        <v>155</v>
      </c>
      <c r="D190" s="93"/>
      <c r="E190" s="219">
        <v>16965</v>
      </c>
      <c r="F190" s="219">
        <v>12675</v>
      </c>
      <c r="G190" s="298">
        <v>14400</v>
      </c>
      <c r="H190" s="223">
        <f t="shared" si="33"/>
        <v>44040</v>
      </c>
      <c r="J190" s="163">
        <f t="shared" si="34"/>
        <v>4.915526586568746</v>
      </c>
      <c r="K190" s="23">
        <f t="shared" si="35"/>
        <v>216479.7908724876</v>
      </c>
      <c r="M190" s="287">
        <v>0.1130769230769231</v>
      </c>
      <c r="N190" s="104">
        <f t="shared" si="36"/>
        <v>4979.907692307694</v>
      </c>
      <c r="O190" s="21">
        <f t="shared" si="37"/>
        <v>9158.509076406124</v>
      </c>
      <c r="P190" s="21">
        <f t="shared" si="38"/>
        <v>0.20795888002738702</v>
      </c>
      <c r="R190" s="287" t="str">
        <f t="shared" si="39"/>
        <v>N</v>
      </c>
      <c r="S190" s="23">
        <f t="shared" si="40"/>
        <v>0</v>
      </c>
      <c r="T190" s="23">
        <f t="shared" si="41"/>
        <v>0</v>
      </c>
      <c r="V190" s="164">
        <f t="shared" si="42"/>
        <v>5.123485466596133</v>
      </c>
      <c r="W190" s="164">
        <f t="shared" si="43"/>
        <v>225638.29994889372</v>
      </c>
      <c r="Y190" s="165"/>
    </row>
    <row r="191" spans="1:25" ht="15">
      <c r="A191" s="93">
        <v>2028</v>
      </c>
      <c r="B191" s="299" t="s">
        <v>446</v>
      </c>
      <c r="C191" s="128" t="s">
        <v>155</v>
      </c>
      <c r="D191" s="93"/>
      <c r="E191" s="219">
        <v>15405</v>
      </c>
      <c r="F191" s="219">
        <v>16380</v>
      </c>
      <c r="G191" s="298">
        <v>14040</v>
      </c>
      <c r="H191" s="223">
        <f aca="true" t="shared" si="44" ref="H191:H216">SUM(E191:G191)</f>
        <v>45825</v>
      </c>
      <c r="J191" s="163">
        <f t="shared" si="34"/>
        <v>4.915526586568746</v>
      </c>
      <c r="K191" s="23">
        <f t="shared" si="35"/>
        <v>225254.0058295128</v>
      </c>
      <c r="M191" s="287">
        <v>0.26557251908396934</v>
      </c>
      <c r="N191" s="104">
        <f t="shared" si="36"/>
        <v>12169.860687022894</v>
      </c>
      <c r="O191" s="21">
        <f t="shared" si="37"/>
        <v>22381.49508932918</v>
      </c>
      <c r="P191" s="21">
        <f t="shared" si="38"/>
        <v>0.48841233146381186</v>
      </c>
      <c r="R191" s="287" t="str">
        <f t="shared" si="39"/>
        <v>Y</v>
      </c>
      <c r="S191" s="23">
        <f t="shared" si="40"/>
        <v>0.30354460766261576</v>
      </c>
      <c r="T191" s="23">
        <f t="shared" si="41"/>
        <v>13909.931646139366</v>
      </c>
      <c r="V191" s="164">
        <f t="shared" si="42"/>
        <v>5.707483525695174</v>
      </c>
      <c r="W191" s="164">
        <f t="shared" si="43"/>
        <v>261545.43256498134</v>
      </c>
      <c r="Y191" s="165"/>
    </row>
    <row r="192" spans="1:25" ht="15">
      <c r="A192" s="10">
        <v>2017</v>
      </c>
      <c r="B192" s="167" t="s">
        <v>447</v>
      </c>
      <c r="C192" s="128" t="s">
        <v>155</v>
      </c>
      <c r="D192" s="93"/>
      <c r="E192" s="219">
        <v>8970</v>
      </c>
      <c r="F192" s="219">
        <v>6240</v>
      </c>
      <c r="G192" s="298">
        <v>5940</v>
      </c>
      <c r="H192" s="223">
        <f t="shared" si="44"/>
        <v>21150</v>
      </c>
      <c r="J192" s="163">
        <f t="shared" si="34"/>
        <v>4.915526586568746</v>
      </c>
      <c r="K192" s="23">
        <f t="shared" si="35"/>
        <v>103963.38730592899</v>
      </c>
      <c r="M192" s="287">
        <v>0.3195945945945945</v>
      </c>
      <c r="N192" s="104">
        <f t="shared" si="36"/>
        <v>6759.425675675673</v>
      </c>
      <c r="O192" s="21">
        <f t="shared" si="37"/>
        <v>12431.206606016593</v>
      </c>
      <c r="P192" s="21">
        <f t="shared" si="38"/>
        <v>0.5877639057218247</v>
      </c>
      <c r="R192" s="287" t="str">
        <f t="shared" si="39"/>
        <v>Y</v>
      </c>
      <c r="S192" s="23">
        <f t="shared" si="40"/>
        <v>0.30354460766261576</v>
      </c>
      <c r="T192" s="23">
        <f t="shared" si="41"/>
        <v>6419.968452064323</v>
      </c>
      <c r="V192" s="164">
        <f t="shared" si="42"/>
        <v>5.806835099953187</v>
      </c>
      <c r="W192" s="164">
        <f t="shared" si="43"/>
        <v>122814.56236400991</v>
      </c>
      <c r="Y192" s="165"/>
    </row>
    <row r="193" spans="1:28" ht="15">
      <c r="A193" s="93">
        <v>1000</v>
      </c>
      <c r="B193" s="167" t="s">
        <v>172</v>
      </c>
      <c r="C193" s="128" t="s">
        <v>155</v>
      </c>
      <c r="D193" s="93"/>
      <c r="E193" s="219">
        <v>23595</v>
      </c>
      <c r="F193" s="219">
        <v>17160</v>
      </c>
      <c r="G193" s="298">
        <v>19080</v>
      </c>
      <c r="H193" s="223">
        <f t="shared" si="44"/>
        <v>59835</v>
      </c>
      <c r="J193" s="163">
        <f t="shared" si="34"/>
        <v>4.915526586568746</v>
      </c>
      <c r="K193" s="23">
        <f>J193*H193</f>
        <v>294120.5333073409</v>
      </c>
      <c r="M193" s="287">
        <v>0.28755813953488374</v>
      </c>
      <c r="N193" s="104">
        <f t="shared" si="36"/>
        <v>17206.04127906977</v>
      </c>
      <c r="O193" s="21">
        <f t="shared" si="37"/>
        <v>31643.49521313224</v>
      </c>
      <c r="P193" s="21">
        <f t="shared" si="38"/>
        <v>0.5288459131466907</v>
      </c>
      <c r="R193" s="287" t="str">
        <f t="shared" si="39"/>
        <v>Y</v>
      </c>
      <c r="S193" s="23">
        <f t="shared" si="40"/>
        <v>0.30354460766261576</v>
      </c>
      <c r="T193" s="23">
        <f>IF(R193="Y",$T$7*H193,0)</f>
        <v>18162.591599492614</v>
      </c>
      <c r="V193" s="164">
        <f>J193+P193+S193</f>
        <v>5.747917107378052</v>
      </c>
      <c r="W193" s="164">
        <f>T193+O193+K193</f>
        <v>343926.62011996575</v>
      </c>
      <c r="Y193" s="165">
        <v>236242</v>
      </c>
      <c r="AB193" s="10">
        <v>5.747917107378052</v>
      </c>
    </row>
    <row r="194" spans="1:25" ht="15">
      <c r="A194" s="93">
        <v>2037</v>
      </c>
      <c r="B194" s="167" t="s">
        <v>448</v>
      </c>
      <c r="C194" s="128" t="s">
        <v>155</v>
      </c>
      <c r="D194" s="93"/>
      <c r="E194" s="219">
        <v>22425</v>
      </c>
      <c r="F194" s="219">
        <v>18720</v>
      </c>
      <c r="G194" s="298">
        <v>20700</v>
      </c>
      <c r="H194" s="223">
        <f t="shared" si="44"/>
        <v>61845</v>
      </c>
      <c r="J194" s="163">
        <f t="shared" si="34"/>
        <v>4.915526586568746</v>
      </c>
      <c r="K194" s="23">
        <f t="shared" si="35"/>
        <v>304000.74174634414</v>
      </c>
      <c r="M194" s="287">
        <v>0.2877439024390247</v>
      </c>
      <c r="N194" s="104">
        <f t="shared" si="36"/>
        <v>17795.521646341484</v>
      </c>
      <c r="O194" s="21">
        <f t="shared" si="37"/>
        <v>32727.60392108289</v>
      </c>
      <c r="P194" s="21">
        <f t="shared" si="38"/>
        <v>0.5291875482429119</v>
      </c>
      <c r="R194" s="287" t="str">
        <f t="shared" si="39"/>
        <v>Y</v>
      </c>
      <c r="S194" s="23">
        <f t="shared" si="40"/>
        <v>0.30354460766261576</v>
      </c>
      <c r="T194" s="23">
        <f>IF(R194="Y",$T$7*H194,0)</f>
        <v>18772.71626089447</v>
      </c>
      <c r="V194" s="164">
        <f t="shared" si="42"/>
        <v>5.748258742474274</v>
      </c>
      <c r="W194" s="164">
        <f t="shared" si="43"/>
        <v>355501.0619283215</v>
      </c>
      <c r="Y194" s="165"/>
    </row>
    <row r="195" spans="1:25" ht="15">
      <c r="A195" s="93">
        <v>2039</v>
      </c>
      <c r="B195" s="167" t="s">
        <v>449</v>
      </c>
      <c r="C195" s="128" t="s">
        <v>155</v>
      </c>
      <c r="D195" s="93"/>
      <c r="E195" s="219">
        <v>13455</v>
      </c>
      <c r="F195" s="219">
        <v>11895</v>
      </c>
      <c r="G195" s="298">
        <v>12060</v>
      </c>
      <c r="H195" s="223">
        <f t="shared" si="44"/>
        <v>37410</v>
      </c>
      <c r="J195" s="163">
        <f t="shared" si="34"/>
        <v>4.915526586568746</v>
      </c>
      <c r="K195" s="23">
        <f t="shared" si="35"/>
        <v>183889.8496035368</v>
      </c>
      <c r="M195" s="287">
        <v>0.10473214285714282</v>
      </c>
      <c r="N195" s="104">
        <f t="shared" si="36"/>
        <v>3918.029464285713</v>
      </c>
      <c r="O195" s="21">
        <f t="shared" si="37"/>
        <v>7205.617177546311</v>
      </c>
      <c r="P195" s="21">
        <f t="shared" si="38"/>
        <v>0.1926120603460655</v>
      </c>
      <c r="R195" s="287" t="str">
        <f t="shared" si="39"/>
        <v>N</v>
      </c>
      <c r="S195" s="23">
        <f t="shared" si="40"/>
        <v>0</v>
      </c>
      <c r="T195" s="23">
        <f t="shared" si="41"/>
        <v>0</v>
      </c>
      <c r="V195" s="164">
        <f t="shared" si="42"/>
        <v>5.108138646914812</v>
      </c>
      <c r="W195" s="164">
        <f t="shared" si="43"/>
        <v>191095.46678108312</v>
      </c>
      <c r="Y195" s="165"/>
    </row>
    <row r="196" spans="1:25" ht="15">
      <c r="A196" s="93">
        <v>5200</v>
      </c>
      <c r="B196" s="167" t="s">
        <v>450</v>
      </c>
      <c r="C196" s="128" t="s">
        <v>155</v>
      </c>
      <c r="D196" s="93"/>
      <c r="E196" s="219">
        <v>16575</v>
      </c>
      <c r="F196" s="219">
        <v>14430</v>
      </c>
      <c r="G196" s="298">
        <v>14940</v>
      </c>
      <c r="H196" s="223">
        <f t="shared" si="44"/>
        <v>45945</v>
      </c>
      <c r="J196" s="163">
        <f t="shared" si="34"/>
        <v>4.915526586568746</v>
      </c>
      <c r="K196" s="23">
        <f t="shared" si="35"/>
        <v>225843.86901990106</v>
      </c>
      <c r="M196" s="287">
        <v>0.16347457627118658</v>
      </c>
      <c r="N196" s="104">
        <f t="shared" si="36"/>
        <v>7510.839406779668</v>
      </c>
      <c r="O196" s="21">
        <f t="shared" si="37"/>
        <v>13813.125689995251</v>
      </c>
      <c r="P196" s="21">
        <f t="shared" si="38"/>
        <v>0.30064480770476115</v>
      </c>
      <c r="R196" s="287" t="str">
        <f t="shared" si="39"/>
        <v>N</v>
      </c>
      <c r="S196" s="23">
        <f t="shared" si="40"/>
        <v>0</v>
      </c>
      <c r="T196" s="23">
        <f t="shared" si="41"/>
        <v>0</v>
      </c>
      <c r="V196" s="164">
        <f t="shared" si="42"/>
        <v>5.216171394273507</v>
      </c>
      <c r="W196" s="164">
        <f t="shared" si="43"/>
        <v>239656.9947098963</v>
      </c>
      <c r="Y196" s="165"/>
    </row>
    <row r="197" spans="1:25" ht="15">
      <c r="A197" s="93">
        <v>2040</v>
      </c>
      <c r="B197" s="167" t="s">
        <v>256</v>
      </c>
      <c r="C197" s="128" t="s">
        <v>155</v>
      </c>
      <c r="D197" s="93"/>
      <c r="E197" s="219">
        <v>19890</v>
      </c>
      <c r="F197" s="219">
        <v>12285</v>
      </c>
      <c r="G197" s="298">
        <v>15480</v>
      </c>
      <c r="H197" s="223">
        <f t="shared" si="44"/>
        <v>47655</v>
      </c>
      <c r="J197" s="163">
        <f t="shared" si="34"/>
        <v>4.915526586568746</v>
      </c>
      <c r="K197" s="23">
        <f t="shared" si="35"/>
        <v>234249.41948293362</v>
      </c>
      <c r="M197" s="287">
        <v>0.2378813559322033</v>
      </c>
      <c r="N197" s="104">
        <f t="shared" si="36"/>
        <v>11336.236016949148</v>
      </c>
      <c r="O197" s="21">
        <f t="shared" si="37"/>
        <v>20848.382513973687</v>
      </c>
      <c r="P197" s="21">
        <f t="shared" si="38"/>
        <v>0.43748573106649224</v>
      </c>
      <c r="R197" s="287" t="str">
        <f t="shared" si="39"/>
        <v>N</v>
      </c>
      <c r="S197" s="23">
        <f t="shared" si="40"/>
        <v>0</v>
      </c>
      <c r="T197" s="23">
        <f t="shared" si="41"/>
        <v>0</v>
      </c>
      <c r="V197" s="164">
        <f t="shared" si="42"/>
        <v>5.353012317635239</v>
      </c>
      <c r="W197" s="164">
        <f t="shared" si="43"/>
        <v>255097.8019969073</v>
      </c>
      <c r="Y197" s="165"/>
    </row>
    <row r="198" spans="1:25" ht="15">
      <c r="A198" s="93">
        <v>2064</v>
      </c>
      <c r="B198" s="167" t="s">
        <v>451</v>
      </c>
      <c r="C198" s="128" t="s">
        <v>155</v>
      </c>
      <c r="D198" s="93"/>
      <c r="E198" s="219">
        <v>13650</v>
      </c>
      <c r="F198" s="219">
        <v>8580</v>
      </c>
      <c r="G198" s="298">
        <v>10080</v>
      </c>
      <c r="H198" s="223">
        <f t="shared" si="44"/>
        <v>32310</v>
      </c>
      <c r="J198" s="163">
        <f t="shared" si="34"/>
        <v>4.915526586568746</v>
      </c>
      <c r="K198" s="23">
        <f t="shared" si="35"/>
        <v>158820.6640120362</v>
      </c>
      <c r="M198" s="287">
        <v>0.28319587628865955</v>
      </c>
      <c r="N198" s="104">
        <f t="shared" si="36"/>
        <v>9150.05876288659</v>
      </c>
      <c r="O198" s="21">
        <f t="shared" si="37"/>
        <v>16827.8011174767</v>
      </c>
      <c r="P198" s="21">
        <f t="shared" si="38"/>
        <v>0.520823309114104</v>
      </c>
      <c r="R198" s="287" t="str">
        <f t="shared" si="39"/>
        <v>Y</v>
      </c>
      <c r="S198" s="23">
        <f t="shared" si="40"/>
        <v>0.30354460766261576</v>
      </c>
      <c r="T198" s="23">
        <f t="shared" si="41"/>
        <v>9807.526273579115</v>
      </c>
      <c r="V198" s="164">
        <f t="shared" si="42"/>
        <v>5.739894503345466</v>
      </c>
      <c r="W198" s="164">
        <f t="shared" si="43"/>
        <v>185455.99140309202</v>
      </c>
      <c r="Y198" s="165"/>
    </row>
    <row r="199" spans="1:25" ht="15">
      <c r="A199" s="93">
        <v>2045</v>
      </c>
      <c r="B199" s="299" t="s">
        <v>50</v>
      </c>
      <c r="C199" s="128" t="s">
        <v>155</v>
      </c>
      <c r="D199" s="93"/>
      <c r="E199" s="219">
        <v>7410</v>
      </c>
      <c r="F199" s="219">
        <v>5265</v>
      </c>
      <c r="G199" s="298">
        <v>6480</v>
      </c>
      <c r="H199" s="223">
        <f t="shared" si="44"/>
        <v>19155</v>
      </c>
      <c r="J199" s="163">
        <f t="shared" si="34"/>
        <v>4.915526586568746</v>
      </c>
      <c r="K199" s="23">
        <f t="shared" si="35"/>
        <v>94156.91176572433</v>
      </c>
      <c r="M199" s="287">
        <v>0.26816666666666655</v>
      </c>
      <c r="N199" s="104">
        <f t="shared" si="36"/>
        <v>5136.732499999998</v>
      </c>
      <c r="O199" s="21">
        <f t="shared" si="37"/>
        <v>9446.924347009272</v>
      </c>
      <c r="P199" s="21">
        <f t="shared" si="38"/>
        <v>0.4931832078835433</v>
      </c>
      <c r="R199" s="287" t="str">
        <f t="shared" si="39"/>
        <v>Y</v>
      </c>
      <c r="S199" s="23">
        <f t="shared" si="40"/>
        <v>0.30354460766261576</v>
      </c>
      <c r="T199" s="23">
        <f t="shared" si="41"/>
        <v>5814.396959777405</v>
      </c>
      <c r="V199" s="164">
        <f t="shared" si="42"/>
        <v>5.7122544021149055</v>
      </c>
      <c r="W199" s="164">
        <f t="shared" si="43"/>
        <v>109418.23307251101</v>
      </c>
      <c r="Y199" s="165"/>
    </row>
    <row r="200" spans="1:25" ht="15">
      <c r="A200" s="93">
        <v>2080</v>
      </c>
      <c r="B200" s="167" t="s">
        <v>452</v>
      </c>
      <c r="C200" s="128" t="s">
        <v>155</v>
      </c>
      <c r="D200" s="93"/>
      <c r="E200" s="219">
        <v>12675</v>
      </c>
      <c r="F200" s="219">
        <v>8580</v>
      </c>
      <c r="G200" s="298">
        <v>10440</v>
      </c>
      <c r="H200" s="223">
        <f t="shared" si="44"/>
        <v>31695</v>
      </c>
      <c r="J200" s="163">
        <f t="shared" si="34"/>
        <v>4.915526586568746</v>
      </c>
      <c r="K200" s="23">
        <f t="shared" si="35"/>
        <v>155797.61516129642</v>
      </c>
      <c r="M200" s="287">
        <v>0.1693243243243244</v>
      </c>
      <c r="N200" s="104">
        <f t="shared" si="36"/>
        <v>5366.7344594594615</v>
      </c>
      <c r="O200" s="21">
        <f t="shared" si="37"/>
        <v>9869.919141983983</v>
      </c>
      <c r="P200" s="21">
        <f t="shared" si="38"/>
        <v>0.3114030333486033</v>
      </c>
      <c r="R200" s="287" t="str">
        <f t="shared" si="39"/>
        <v>N</v>
      </c>
      <c r="S200" s="23">
        <f t="shared" si="40"/>
        <v>0</v>
      </c>
      <c r="T200" s="23">
        <f t="shared" si="41"/>
        <v>0</v>
      </c>
      <c r="V200" s="164">
        <f t="shared" si="42"/>
        <v>5.22692961991735</v>
      </c>
      <c r="W200" s="164">
        <f t="shared" si="43"/>
        <v>165667.5343032804</v>
      </c>
      <c r="Y200" s="165"/>
    </row>
    <row r="201" spans="1:25" ht="15">
      <c r="A201" s="93">
        <v>2048</v>
      </c>
      <c r="B201" s="167" t="s">
        <v>453</v>
      </c>
      <c r="C201" s="128" t="s">
        <v>155</v>
      </c>
      <c r="D201" s="93"/>
      <c r="E201" s="219">
        <v>10140</v>
      </c>
      <c r="F201" s="219">
        <v>7995</v>
      </c>
      <c r="G201" s="298">
        <v>9180</v>
      </c>
      <c r="H201" s="223">
        <f t="shared" si="44"/>
        <v>27315</v>
      </c>
      <c r="J201" s="163">
        <f t="shared" si="34"/>
        <v>4.915526586568746</v>
      </c>
      <c r="K201" s="23">
        <f t="shared" si="35"/>
        <v>134267.6087121253</v>
      </c>
      <c r="M201" s="287">
        <v>0.19461538461538463</v>
      </c>
      <c r="N201" s="104">
        <f t="shared" si="36"/>
        <v>5315.919230769231</v>
      </c>
      <c r="O201" s="21">
        <f t="shared" si="37"/>
        <v>9776.465254495666</v>
      </c>
      <c r="P201" s="21">
        <f t="shared" si="38"/>
        <v>0.3579156234484959</v>
      </c>
      <c r="R201" s="287" t="str">
        <f t="shared" si="39"/>
        <v>N</v>
      </c>
      <c r="S201" s="23">
        <f t="shared" si="40"/>
        <v>0</v>
      </c>
      <c r="T201" s="23">
        <f t="shared" si="41"/>
        <v>0</v>
      </c>
      <c r="V201" s="164">
        <f t="shared" si="42"/>
        <v>5.273442210017242</v>
      </c>
      <c r="W201" s="164">
        <f t="shared" si="43"/>
        <v>144044.07396662098</v>
      </c>
      <c r="Y201" s="165"/>
    </row>
    <row r="202" spans="1:25" ht="15">
      <c r="A202" s="93">
        <v>3405</v>
      </c>
      <c r="B202" s="167" t="s">
        <v>454</v>
      </c>
      <c r="C202" s="128" t="s">
        <v>155</v>
      </c>
      <c r="D202" s="93"/>
      <c r="E202" s="219">
        <v>11310</v>
      </c>
      <c r="F202" s="219">
        <v>11310</v>
      </c>
      <c r="G202" s="298">
        <v>10440</v>
      </c>
      <c r="H202" s="223">
        <f t="shared" si="44"/>
        <v>33060</v>
      </c>
      <c r="J202" s="163">
        <f t="shared" si="34"/>
        <v>4.915526586568746</v>
      </c>
      <c r="K202" s="23">
        <f t="shared" si="35"/>
        <v>162507.30895196274</v>
      </c>
      <c r="M202" s="287">
        <v>0.1250467289719626</v>
      </c>
      <c r="N202" s="104">
        <f t="shared" si="36"/>
        <v>4134.044859813083</v>
      </c>
      <c r="O202" s="21">
        <f t="shared" si="37"/>
        <v>7602.889392779702</v>
      </c>
      <c r="P202" s="21">
        <f t="shared" si="38"/>
        <v>0.22997245592195104</v>
      </c>
      <c r="R202" s="287" t="str">
        <f t="shared" si="39"/>
        <v>N</v>
      </c>
      <c r="S202" s="23">
        <f t="shared" si="40"/>
        <v>0</v>
      </c>
      <c r="T202" s="23">
        <f t="shared" si="41"/>
        <v>0</v>
      </c>
      <c r="V202" s="164">
        <f t="shared" si="42"/>
        <v>5.145499042490697</v>
      </c>
      <c r="W202" s="164">
        <f t="shared" si="43"/>
        <v>170110.19834474244</v>
      </c>
      <c r="Y202" s="165"/>
    </row>
    <row r="203" spans="1:25" ht="15">
      <c r="A203" s="93">
        <v>5208</v>
      </c>
      <c r="B203" s="167" t="s">
        <v>455</v>
      </c>
      <c r="C203" s="128" t="s">
        <v>155</v>
      </c>
      <c r="D203" s="93"/>
      <c r="E203" s="219">
        <v>4290</v>
      </c>
      <c r="F203" s="219">
        <v>1560</v>
      </c>
      <c r="G203" s="298">
        <v>2700</v>
      </c>
      <c r="H203" s="223">
        <f t="shared" si="44"/>
        <v>8550</v>
      </c>
      <c r="J203" s="163">
        <f t="shared" si="34"/>
        <v>4.915526586568746</v>
      </c>
      <c r="K203" s="23">
        <f t="shared" si="35"/>
        <v>42027.75231516278</v>
      </c>
      <c r="M203" s="287">
        <v>0.25458333333333333</v>
      </c>
      <c r="N203" s="104">
        <f t="shared" si="36"/>
        <v>2176.6875</v>
      </c>
      <c r="O203" s="21">
        <f t="shared" si="37"/>
        <v>4003.1288644251476</v>
      </c>
      <c r="P203" s="21">
        <f t="shared" si="38"/>
        <v>0.46820220636551435</v>
      </c>
      <c r="R203" s="287" t="str">
        <f t="shared" si="39"/>
        <v>Y</v>
      </c>
      <c r="S203" s="23">
        <f t="shared" si="40"/>
        <v>0.30354460766261576</v>
      </c>
      <c r="T203" s="23">
        <f t="shared" si="41"/>
        <v>2595.306395515365</v>
      </c>
      <c r="V203" s="164">
        <f t="shared" si="42"/>
        <v>5.687273400596877</v>
      </c>
      <c r="W203" s="164">
        <f t="shared" si="43"/>
        <v>48626.18757510329</v>
      </c>
      <c r="Y203" s="165"/>
    </row>
    <row r="204" spans="1:25" ht="15">
      <c r="A204" s="93">
        <v>3402</v>
      </c>
      <c r="B204" s="167" t="s">
        <v>456</v>
      </c>
      <c r="C204" s="128" t="s">
        <v>155</v>
      </c>
      <c r="D204" s="93"/>
      <c r="E204" s="219">
        <v>10335</v>
      </c>
      <c r="F204" s="219">
        <v>9555</v>
      </c>
      <c r="G204" s="298">
        <v>8460</v>
      </c>
      <c r="H204" s="223">
        <f t="shared" si="44"/>
        <v>28350</v>
      </c>
      <c r="J204" s="163">
        <f t="shared" si="34"/>
        <v>4.915526586568746</v>
      </c>
      <c r="K204" s="23">
        <f t="shared" si="35"/>
        <v>139355.17872922396</v>
      </c>
      <c r="M204" s="287">
        <v>0.22048192771084338</v>
      </c>
      <c r="N204" s="104">
        <f t="shared" si="36"/>
        <v>6250.6626506024095</v>
      </c>
      <c r="O204" s="21">
        <f t="shared" si="37"/>
        <v>11495.544527365873</v>
      </c>
      <c r="P204" s="21">
        <f t="shared" si="38"/>
        <v>0.40548657944853167</v>
      </c>
      <c r="R204" s="287" t="str">
        <f t="shared" si="39"/>
        <v>N</v>
      </c>
      <c r="S204" s="23">
        <f t="shared" si="40"/>
        <v>0</v>
      </c>
      <c r="T204" s="23">
        <f t="shared" si="41"/>
        <v>0</v>
      </c>
      <c r="V204" s="164">
        <f t="shared" si="42"/>
        <v>5.321013166017278</v>
      </c>
      <c r="W204" s="164">
        <f t="shared" si="43"/>
        <v>150850.72325658984</v>
      </c>
      <c r="Y204" s="165"/>
    </row>
    <row r="205" spans="1:25" ht="15">
      <c r="A205" s="93">
        <v>3403</v>
      </c>
      <c r="B205" s="167" t="s">
        <v>457</v>
      </c>
      <c r="C205" s="128" t="s">
        <v>155</v>
      </c>
      <c r="D205" s="93"/>
      <c r="E205" s="219">
        <v>6630</v>
      </c>
      <c r="F205" s="219">
        <v>5655</v>
      </c>
      <c r="G205" s="298">
        <v>6120</v>
      </c>
      <c r="H205" s="223">
        <f t="shared" si="44"/>
        <v>18405</v>
      </c>
      <c r="J205" s="163">
        <f t="shared" si="34"/>
        <v>4.915526586568746</v>
      </c>
      <c r="K205" s="23">
        <f t="shared" si="35"/>
        <v>90470.26682579778</v>
      </c>
      <c r="M205" s="287">
        <v>0.31627906976744175</v>
      </c>
      <c r="N205" s="104">
        <f t="shared" si="36"/>
        <v>5821.116279069765</v>
      </c>
      <c r="O205" s="21">
        <f t="shared" si="37"/>
        <v>10705.569173305443</v>
      </c>
      <c r="P205" s="21">
        <f t="shared" si="38"/>
        <v>0.581666350084512</v>
      </c>
      <c r="R205" s="287" t="str">
        <f t="shared" si="39"/>
        <v>Y</v>
      </c>
      <c r="S205" s="23">
        <f t="shared" si="40"/>
        <v>0.30354460766261576</v>
      </c>
      <c r="T205" s="23">
        <f t="shared" si="41"/>
        <v>5586.738504030443</v>
      </c>
      <c r="V205" s="164">
        <f t="shared" si="42"/>
        <v>5.800737544315874</v>
      </c>
      <c r="W205" s="164">
        <f t="shared" si="43"/>
        <v>106762.57450313367</v>
      </c>
      <c r="Y205" s="165"/>
    </row>
    <row r="206" spans="1:25" ht="15">
      <c r="A206" s="93">
        <v>2035</v>
      </c>
      <c r="B206" s="299" t="s">
        <v>458</v>
      </c>
      <c r="C206" s="128" t="s">
        <v>155</v>
      </c>
      <c r="D206" s="93"/>
      <c r="E206" s="219">
        <v>3705</v>
      </c>
      <c r="F206" s="219">
        <v>4485</v>
      </c>
      <c r="G206" s="298">
        <v>3420</v>
      </c>
      <c r="H206" s="223">
        <f t="shared" si="44"/>
        <v>11610</v>
      </c>
      <c r="J206" s="163">
        <f t="shared" si="34"/>
        <v>4.915526586568746</v>
      </c>
      <c r="K206" s="23">
        <f t="shared" si="35"/>
        <v>57069.26367006314</v>
      </c>
      <c r="M206" s="287">
        <v>0.30459999999999987</v>
      </c>
      <c r="N206" s="104">
        <f t="shared" si="36"/>
        <v>3536.4059999999986</v>
      </c>
      <c r="O206" s="21">
        <f t="shared" si="37"/>
        <v>6503.77646535218</v>
      </c>
      <c r="P206" s="21">
        <f t="shared" si="38"/>
        <v>0.56018746471595</v>
      </c>
      <c r="R206" s="287" t="str">
        <f t="shared" si="39"/>
        <v>Y</v>
      </c>
      <c r="S206" s="23">
        <f t="shared" si="40"/>
        <v>0.30354460766261576</v>
      </c>
      <c r="T206" s="23">
        <f t="shared" si="41"/>
        <v>3524.152894962969</v>
      </c>
      <c r="V206" s="164">
        <f t="shared" si="42"/>
        <v>5.779258658947312</v>
      </c>
      <c r="W206" s="164">
        <f t="shared" si="43"/>
        <v>67097.19303037829</v>
      </c>
      <c r="Y206" s="165"/>
    </row>
    <row r="207" spans="1:25" ht="15">
      <c r="A207" s="93">
        <v>3404</v>
      </c>
      <c r="B207" s="167" t="s">
        <v>459</v>
      </c>
      <c r="C207" s="128" t="s">
        <v>155</v>
      </c>
      <c r="D207" s="93"/>
      <c r="E207" s="219">
        <v>8385</v>
      </c>
      <c r="F207" s="219">
        <v>4485</v>
      </c>
      <c r="G207" s="298">
        <v>5760</v>
      </c>
      <c r="H207" s="223">
        <f t="shared" si="44"/>
        <v>18630</v>
      </c>
      <c r="J207" s="163">
        <f t="shared" si="34"/>
        <v>4.915526586568746</v>
      </c>
      <c r="K207" s="23">
        <f t="shared" si="35"/>
        <v>91576.26030777574</v>
      </c>
      <c r="M207" s="287">
        <v>0.21921052631578952</v>
      </c>
      <c r="N207" s="104">
        <f t="shared" si="36"/>
        <v>4083.892105263159</v>
      </c>
      <c r="O207" s="21">
        <f t="shared" si="37"/>
        <v>7510.653856273321</v>
      </c>
      <c r="P207" s="21">
        <f t="shared" si="38"/>
        <v>0.40314835514081165</v>
      </c>
      <c r="R207" s="287" t="str">
        <f t="shared" si="39"/>
        <v>N</v>
      </c>
      <c r="S207" s="23">
        <f t="shared" si="40"/>
        <v>0</v>
      </c>
      <c r="T207" s="23">
        <f t="shared" si="41"/>
        <v>0</v>
      </c>
      <c r="V207" s="164">
        <f t="shared" si="42"/>
        <v>5.318674941709558</v>
      </c>
      <c r="W207" s="164">
        <f t="shared" si="43"/>
        <v>99086.91416404906</v>
      </c>
      <c r="Y207" s="165"/>
    </row>
    <row r="208" spans="1:25" ht="15">
      <c r="A208" s="93">
        <v>3306</v>
      </c>
      <c r="B208" s="167" t="s">
        <v>460</v>
      </c>
      <c r="C208" s="128" t="s">
        <v>155</v>
      </c>
      <c r="D208" s="93"/>
      <c r="E208" s="219">
        <v>8970</v>
      </c>
      <c r="F208" s="219">
        <v>9555</v>
      </c>
      <c r="G208" s="298">
        <v>8640</v>
      </c>
      <c r="H208" s="223">
        <f t="shared" si="44"/>
        <v>27165</v>
      </c>
      <c r="J208" s="163">
        <f t="shared" si="34"/>
        <v>4.915526586568746</v>
      </c>
      <c r="K208" s="23">
        <f t="shared" si="35"/>
        <v>133530.27972413998</v>
      </c>
      <c r="M208" s="287">
        <v>0.2820270270270269</v>
      </c>
      <c r="N208" s="104">
        <f t="shared" si="36"/>
        <v>7661.264189189186</v>
      </c>
      <c r="O208" s="21">
        <f t="shared" si="37"/>
        <v>14089.770724428727</v>
      </c>
      <c r="P208" s="21">
        <f t="shared" si="38"/>
        <v>0.5186736876285193</v>
      </c>
      <c r="R208" s="287" t="str">
        <f t="shared" si="39"/>
        <v>Y</v>
      </c>
      <c r="S208" s="23">
        <f t="shared" si="40"/>
        <v>0.30354460766261576</v>
      </c>
      <c r="T208" s="23">
        <f t="shared" si="41"/>
        <v>8245.789267154958</v>
      </c>
      <c r="V208" s="164">
        <f t="shared" si="42"/>
        <v>5.737744881859881</v>
      </c>
      <c r="W208" s="164">
        <f t="shared" si="43"/>
        <v>155865.83971572368</v>
      </c>
      <c r="Y208" s="165"/>
    </row>
    <row r="209" spans="1:25" ht="15">
      <c r="A209" s="93">
        <v>3400</v>
      </c>
      <c r="B209" s="167" t="s">
        <v>461</v>
      </c>
      <c r="C209" s="128" t="s">
        <v>155</v>
      </c>
      <c r="D209" s="93"/>
      <c r="E209" s="219">
        <v>3900</v>
      </c>
      <c r="F209" s="219">
        <v>3900</v>
      </c>
      <c r="G209" s="298">
        <v>3600</v>
      </c>
      <c r="H209" s="223">
        <f t="shared" si="44"/>
        <v>11400</v>
      </c>
      <c r="J209" s="163">
        <f t="shared" si="34"/>
        <v>4.915526586568746</v>
      </c>
      <c r="K209" s="23">
        <f t="shared" si="35"/>
        <v>56037.003086883706</v>
      </c>
      <c r="M209" s="287">
        <v>0.14864864864864868</v>
      </c>
      <c r="N209" s="104">
        <f t="shared" si="36"/>
        <v>1694.594594594595</v>
      </c>
      <c r="O209" s="21">
        <f t="shared" si="37"/>
        <v>3116.515593129677</v>
      </c>
      <c r="P209" s="21">
        <f t="shared" si="38"/>
        <v>0.2733785608008489</v>
      </c>
      <c r="R209" s="287" t="str">
        <f t="shared" si="39"/>
        <v>N</v>
      </c>
      <c r="S209" s="23">
        <f t="shared" si="40"/>
        <v>0</v>
      </c>
      <c r="T209" s="23">
        <f t="shared" si="41"/>
        <v>0</v>
      </c>
      <c r="V209" s="164">
        <f t="shared" si="42"/>
        <v>5.188905147369595</v>
      </c>
      <c r="W209" s="164">
        <f t="shared" si="43"/>
        <v>59153.51868001338</v>
      </c>
      <c r="Y209" s="165"/>
    </row>
    <row r="210" spans="1:25" s="138" customFormat="1" ht="15">
      <c r="A210" s="10">
        <v>2065</v>
      </c>
      <c r="B210" s="167" t="s">
        <v>462</v>
      </c>
      <c r="C210" s="128" t="s">
        <v>155</v>
      </c>
      <c r="D210" s="93"/>
      <c r="E210" s="219">
        <v>7605</v>
      </c>
      <c r="F210" s="219">
        <v>5070</v>
      </c>
      <c r="G210" s="298">
        <v>5580</v>
      </c>
      <c r="H210" s="223">
        <f t="shared" si="44"/>
        <v>18255</v>
      </c>
      <c r="J210" s="163">
        <f t="shared" si="34"/>
        <v>4.915526586568746</v>
      </c>
      <c r="K210" s="23">
        <f t="shared" si="35"/>
        <v>89732.93783781247</v>
      </c>
      <c r="L210" s="10"/>
      <c r="M210" s="287">
        <v>0.10300000000000001</v>
      </c>
      <c r="N210" s="104">
        <f t="shared" si="36"/>
        <v>1880.265</v>
      </c>
      <c r="O210" s="21">
        <f t="shared" si="37"/>
        <v>3457.980575653763</v>
      </c>
      <c r="P210" s="21">
        <f t="shared" si="38"/>
        <v>0.1894264900385518</v>
      </c>
      <c r="Q210" s="10"/>
      <c r="R210" s="287" t="str">
        <f t="shared" si="39"/>
        <v>N</v>
      </c>
      <c r="S210" s="23">
        <f t="shared" si="40"/>
        <v>0</v>
      </c>
      <c r="T210" s="23">
        <f t="shared" si="41"/>
        <v>0</v>
      </c>
      <c r="U210" s="10"/>
      <c r="V210" s="164">
        <f t="shared" si="42"/>
        <v>5.104953076607298</v>
      </c>
      <c r="W210" s="164">
        <f t="shared" si="43"/>
        <v>93190.91841346624</v>
      </c>
      <c r="X210" s="10"/>
      <c r="Y210" s="165"/>
    </row>
    <row r="211" spans="1:25" ht="15">
      <c r="A211" s="10">
        <v>2051</v>
      </c>
      <c r="B211" s="167" t="s">
        <v>463</v>
      </c>
      <c r="C211" s="128" t="s">
        <v>155</v>
      </c>
      <c r="D211" s="93"/>
      <c r="E211" s="219">
        <v>11700</v>
      </c>
      <c r="F211" s="219">
        <v>11310</v>
      </c>
      <c r="G211" s="298">
        <v>10620</v>
      </c>
      <c r="H211" s="223">
        <f t="shared" si="44"/>
        <v>33630</v>
      </c>
      <c r="J211" s="163">
        <f t="shared" si="34"/>
        <v>4.915526586568746</v>
      </c>
      <c r="K211" s="23">
        <f t="shared" si="35"/>
        <v>165309.15910630694</v>
      </c>
      <c r="M211" s="287">
        <v>0.2973737373737374</v>
      </c>
      <c r="N211" s="104">
        <f t="shared" si="36"/>
        <v>10000.678787878789</v>
      </c>
      <c r="O211" s="21">
        <f t="shared" si="37"/>
        <v>18392.169716416287</v>
      </c>
      <c r="P211" s="21">
        <f t="shared" si="38"/>
        <v>0.5468977019451765</v>
      </c>
      <c r="R211" s="287" t="str">
        <f t="shared" si="39"/>
        <v>Y</v>
      </c>
      <c r="S211" s="23">
        <f t="shared" si="40"/>
        <v>0.30354460766261576</v>
      </c>
      <c r="T211" s="23">
        <f t="shared" si="41"/>
        <v>10208.205155693768</v>
      </c>
      <c r="V211" s="164">
        <f t="shared" si="42"/>
        <v>5.765968896176538</v>
      </c>
      <c r="W211" s="164">
        <f t="shared" si="43"/>
        <v>193909.533978417</v>
      </c>
      <c r="Y211" s="165"/>
    </row>
    <row r="212" spans="1:25" ht="15">
      <c r="A212" s="10">
        <v>2069</v>
      </c>
      <c r="B212" s="167" t="s">
        <v>464</v>
      </c>
      <c r="C212" s="128" t="s">
        <v>155</v>
      </c>
      <c r="D212" s="93"/>
      <c r="E212" s="219">
        <v>15210</v>
      </c>
      <c r="F212" s="219">
        <v>11310</v>
      </c>
      <c r="G212" s="298">
        <v>10080</v>
      </c>
      <c r="H212" s="223">
        <f t="shared" si="44"/>
        <v>36600</v>
      </c>
      <c r="J212" s="163">
        <f t="shared" si="34"/>
        <v>4.915526586568746</v>
      </c>
      <c r="K212" s="23">
        <f t="shared" si="35"/>
        <v>179908.2730684161</v>
      </c>
      <c r="M212" s="287">
        <v>0.22897196261682223</v>
      </c>
      <c r="N212" s="104">
        <f t="shared" si="36"/>
        <v>8380.373831775694</v>
      </c>
      <c r="O212" s="21">
        <f t="shared" si="37"/>
        <v>15412.279613244647</v>
      </c>
      <c r="P212" s="21">
        <f t="shared" si="38"/>
        <v>0.42110053588100127</v>
      </c>
      <c r="R212" s="287" t="str">
        <f t="shared" si="39"/>
        <v>N</v>
      </c>
      <c r="S212" s="23">
        <f t="shared" si="40"/>
        <v>0</v>
      </c>
      <c r="T212" s="23">
        <f t="shared" si="41"/>
        <v>0</v>
      </c>
      <c r="V212" s="164">
        <f t="shared" si="42"/>
        <v>5.336627122449747</v>
      </c>
      <c r="W212" s="164">
        <f t="shared" si="43"/>
        <v>195320.55268166075</v>
      </c>
      <c r="Y212" s="165"/>
    </row>
    <row r="213" spans="1:25" ht="15">
      <c r="A213" s="93">
        <v>2074</v>
      </c>
      <c r="B213" s="167" t="s">
        <v>465</v>
      </c>
      <c r="C213" s="128" t="s">
        <v>155</v>
      </c>
      <c r="D213" s="93"/>
      <c r="E213" s="219">
        <v>12090</v>
      </c>
      <c r="F213" s="219">
        <v>10140</v>
      </c>
      <c r="G213" s="298">
        <v>9540</v>
      </c>
      <c r="H213" s="223">
        <f t="shared" si="44"/>
        <v>31770</v>
      </c>
      <c r="J213" s="163">
        <f t="shared" si="34"/>
        <v>4.915526586568746</v>
      </c>
      <c r="K213" s="23">
        <f t="shared" si="35"/>
        <v>156166.27965528908</v>
      </c>
      <c r="M213" s="287">
        <v>0.13483870967741932</v>
      </c>
      <c r="N213" s="104">
        <f t="shared" si="36"/>
        <v>4283.825806451611</v>
      </c>
      <c r="O213" s="21">
        <f t="shared" si="37"/>
        <v>7878.350353909682</v>
      </c>
      <c r="P213" s="21">
        <f t="shared" si="38"/>
        <v>0.2479808106361247</v>
      </c>
      <c r="R213" s="287" t="str">
        <f t="shared" si="39"/>
        <v>N</v>
      </c>
      <c r="S213" s="23">
        <f t="shared" si="40"/>
        <v>0</v>
      </c>
      <c r="T213" s="23">
        <f t="shared" si="41"/>
        <v>0</v>
      </c>
      <c r="V213" s="164">
        <f t="shared" si="42"/>
        <v>5.163507397204871</v>
      </c>
      <c r="W213" s="164">
        <f t="shared" si="43"/>
        <v>164044.63000919877</v>
      </c>
      <c r="Y213" s="165"/>
    </row>
    <row r="214" spans="1:25" ht="15">
      <c r="A214" s="93">
        <v>2049</v>
      </c>
      <c r="B214" s="167" t="s">
        <v>466</v>
      </c>
      <c r="C214" s="128" t="s">
        <v>155</v>
      </c>
      <c r="D214" s="93"/>
      <c r="E214" s="219">
        <v>12675</v>
      </c>
      <c r="F214" s="219">
        <v>9555</v>
      </c>
      <c r="G214" s="298">
        <v>11520</v>
      </c>
      <c r="H214" s="223">
        <f t="shared" si="44"/>
        <v>33750</v>
      </c>
      <c r="J214" s="163">
        <f t="shared" si="34"/>
        <v>4.915526586568746</v>
      </c>
      <c r="K214" s="23">
        <f t="shared" si="35"/>
        <v>165899.02229669518</v>
      </c>
      <c r="M214" s="287">
        <v>0.238876404494382</v>
      </c>
      <c r="N214" s="104">
        <f t="shared" si="36"/>
        <v>8062.078651685392</v>
      </c>
      <c r="O214" s="21">
        <f t="shared" si="37"/>
        <v>14826.905450519456</v>
      </c>
      <c r="P214" s="21">
        <f t="shared" si="38"/>
        <v>0.43931571705242833</v>
      </c>
      <c r="R214" s="287" t="str">
        <f t="shared" si="39"/>
        <v>N</v>
      </c>
      <c r="S214" s="23">
        <f t="shared" si="40"/>
        <v>0</v>
      </c>
      <c r="T214" s="23">
        <f t="shared" si="41"/>
        <v>0</v>
      </c>
      <c r="V214" s="164">
        <f t="shared" si="42"/>
        <v>5.354842303621175</v>
      </c>
      <c r="W214" s="164">
        <f t="shared" si="43"/>
        <v>180725.92774721465</v>
      </c>
      <c r="Y214" s="165"/>
    </row>
    <row r="215" spans="1:25" ht="15">
      <c r="A215" s="93">
        <v>2082</v>
      </c>
      <c r="B215" s="300" t="s">
        <v>467</v>
      </c>
      <c r="C215" s="128" t="s">
        <v>155</v>
      </c>
      <c r="D215" s="93"/>
      <c r="E215" s="219">
        <v>11700</v>
      </c>
      <c r="F215" s="219">
        <v>9555</v>
      </c>
      <c r="G215" s="298">
        <v>10620</v>
      </c>
      <c r="H215" s="223">
        <f t="shared" si="44"/>
        <v>31875</v>
      </c>
      <c r="J215" s="163">
        <f t="shared" si="34"/>
        <v>4.915526586568746</v>
      </c>
      <c r="K215" s="23">
        <f t="shared" si="35"/>
        <v>156682.4099468788</v>
      </c>
      <c r="M215" s="287">
        <v>0.27410071942446035</v>
      </c>
      <c r="N215" s="104">
        <f t="shared" si="36"/>
        <v>8736.960431654674</v>
      </c>
      <c r="O215" s="21">
        <f t="shared" si="37"/>
        <v>16068.075224990827</v>
      </c>
      <c r="P215" s="21">
        <f t="shared" si="38"/>
        <v>0.504096477646771</v>
      </c>
      <c r="R215" s="287" t="str">
        <f t="shared" si="39"/>
        <v>Y</v>
      </c>
      <c r="S215" s="23">
        <f t="shared" si="40"/>
        <v>0.30354460766261576</v>
      </c>
      <c r="T215" s="23">
        <f t="shared" si="41"/>
        <v>9675.484369245878</v>
      </c>
      <c r="V215" s="164">
        <f t="shared" si="42"/>
        <v>5.723167671878133</v>
      </c>
      <c r="W215" s="164">
        <f t="shared" si="43"/>
        <v>182425.9695411155</v>
      </c>
      <c r="Y215" s="165"/>
    </row>
    <row r="216" spans="1:25" ht="15">
      <c r="A216" s="93">
        <v>2060</v>
      </c>
      <c r="B216" s="167" t="s">
        <v>468</v>
      </c>
      <c r="C216" s="128" t="s">
        <v>155</v>
      </c>
      <c r="D216" s="93"/>
      <c r="E216" s="219">
        <v>23400</v>
      </c>
      <c r="F216" s="219">
        <v>22230</v>
      </c>
      <c r="G216" s="298">
        <v>10620</v>
      </c>
      <c r="H216" s="223">
        <f t="shared" si="44"/>
        <v>56250</v>
      </c>
      <c r="J216" s="163">
        <f t="shared" si="34"/>
        <v>4.915526586568746</v>
      </c>
      <c r="K216" s="23">
        <f t="shared" si="35"/>
        <v>276498.370494492</v>
      </c>
      <c r="M216" s="287">
        <v>0.25147368421052657</v>
      </c>
      <c r="N216" s="104">
        <f t="shared" si="36"/>
        <v>14145.39473684212</v>
      </c>
      <c r="O216" s="21">
        <f t="shared" si="37"/>
        <v>26014.68422533793</v>
      </c>
      <c r="P216" s="21">
        <f t="shared" si="38"/>
        <v>0.46248327511711873</v>
      </c>
      <c r="R216" s="287" t="str">
        <f t="shared" si="39"/>
        <v>Y</v>
      </c>
      <c r="S216" s="23">
        <f t="shared" si="40"/>
        <v>0.30354460766261576</v>
      </c>
      <c r="T216" s="23">
        <f t="shared" si="41"/>
        <v>17074.38418102214</v>
      </c>
      <c r="V216" s="164">
        <f t="shared" si="42"/>
        <v>5.681554469348481</v>
      </c>
      <c r="W216" s="164">
        <f t="shared" si="43"/>
        <v>319587.43890085205</v>
      </c>
      <c r="Y216" s="165"/>
    </row>
    <row r="217" spans="2:25" ht="15">
      <c r="B217" s="167" t="s">
        <v>469</v>
      </c>
      <c r="C217" s="128"/>
      <c r="D217" s="93"/>
      <c r="E217" s="301">
        <v>703560</v>
      </c>
      <c r="F217" s="301">
        <v>576420</v>
      </c>
      <c r="G217" s="301">
        <v>597960</v>
      </c>
      <c r="H217" s="223"/>
      <c r="J217" s="166"/>
      <c r="K217" s="23"/>
      <c r="M217" s="287"/>
      <c r="N217" s="104"/>
      <c r="O217" s="21"/>
      <c r="P217" s="21"/>
      <c r="R217" s="287"/>
      <c r="S217" s="23"/>
      <c r="T217" s="23"/>
      <c r="V217" s="164"/>
      <c r="W217" s="164"/>
      <c r="Y217" s="165"/>
    </row>
    <row r="218" spans="2:25" ht="15">
      <c r="B218" s="167"/>
      <c r="C218" s="128"/>
      <c r="D218" s="93"/>
      <c r="E218" s="20"/>
      <c r="F218" s="20"/>
      <c r="G218" s="161"/>
      <c r="H218" s="162"/>
      <c r="J218" s="166"/>
      <c r="K218" s="23"/>
      <c r="M218" s="287"/>
      <c r="N218" s="104"/>
      <c r="O218" s="21"/>
      <c r="P218" s="21"/>
      <c r="R218" s="287"/>
      <c r="S218" s="23"/>
      <c r="T218" s="23"/>
      <c r="V218" s="164"/>
      <c r="W218" s="164"/>
      <c r="Y218" s="165"/>
    </row>
    <row r="219" spans="2:25" ht="15">
      <c r="B219" s="169" t="s">
        <v>234</v>
      </c>
      <c r="C219" s="170"/>
      <c r="D219" s="171"/>
      <c r="E219" s="302">
        <v>1206145.5</v>
      </c>
      <c r="F219" s="302">
        <v>892526</v>
      </c>
      <c r="G219" s="302">
        <v>991158</v>
      </c>
      <c r="H219" s="223">
        <f>SUM(H9:H217)</f>
        <v>3090009.5</v>
      </c>
      <c r="J219" s="172"/>
      <c r="K219" s="165">
        <f>SUM(K9:K216)</f>
        <v>15189023.85</v>
      </c>
      <c r="L219" s="138"/>
      <c r="M219" s="162"/>
      <c r="N219" s="173"/>
      <c r="O219" s="164">
        <f>SUM(O9:O216)</f>
        <v>1168386.4499999997</v>
      </c>
      <c r="P219" s="164"/>
      <c r="Q219" s="138"/>
      <c r="R219" s="162"/>
      <c r="S219" s="165"/>
      <c r="T219" s="164">
        <f>SUM(T9:T216)</f>
        <v>333824.7</v>
      </c>
      <c r="U219" s="138"/>
      <c r="V219" s="164"/>
      <c r="W219" s="164"/>
      <c r="X219" s="138"/>
      <c r="Y219" s="165"/>
    </row>
    <row r="220" spans="2:25" ht="15">
      <c r="B220" s="167" t="s">
        <v>173</v>
      </c>
      <c r="C220" s="128"/>
      <c r="D220" s="93"/>
      <c r="E220" s="20"/>
      <c r="F220" s="20"/>
      <c r="G220" s="161"/>
      <c r="H220" s="162"/>
      <c r="J220" s="166"/>
      <c r="K220" s="23">
        <f>F3*0.91</f>
        <v>15189023.85</v>
      </c>
      <c r="M220" s="287"/>
      <c r="N220" s="104"/>
      <c r="O220" s="21">
        <f>F3*0.07</f>
        <v>1168386.4500000002</v>
      </c>
      <c r="P220" s="21"/>
      <c r="R220" s="287"/>
      <c r="S220" s="23"/>
      <c r="T220" s="23">
        <f>F3*0.02</f>
        <v>333824.7</v>
      </c>
      <c r="V220" s="164"/>
      <c r="W220" s="164"/>
      <c r="Y220" s="165"/>
    </row>
    <row r="221" spans="2:25" ht="15">
      <c r="B221" s="174"/>
      <c r="C221" s="175"/>
      <c r="D221" s="93"/>
      <c r="E221" s="24"/>
      <c r="F221" s="24"/>
      <c r="G221" s="176"/>
      <c r="H221" s="177"/>
      <c r="J221" s="178"/>
      <c r="K221" s="27"/>
      <c r="M221" s="303"/>
      <c r="N221" s="179"/>
      <c r="O221" s="25"/>
      <c r="P221" s="25"/>
      <c r="R221" s="303"/>
      <c r="S221" s="27"/>
      <c r="T221" s="27"/>
      <c r="V221" s="180"/>
      <c r="W221" s="180"/>
      <c r="Y221" s="181"/>
    </row>
    <row r="222" spans="2:23" ht="15">
      <c r="B222" s="168"/>
      <c r="C222" s="93"/>
      <c r="D222" s="93"/>
      <c r="K222" s="133"/>
      <c r="N222" s="183"/>
      <c r="O222" s="184"/>
      <c r="P222" s="184"/>
      <c r="T222" s="133"/>
      <c r="V222" s="185"/>
      <c r="W222" s="185"/>
    </row>
    <row r="223" spans="2:23" ht="15">
      <c r="B223" s="168"/>
      <c r="C223" s="93"/>
      <c r="D223" s="93"/>
      <c r="K223" s="133"/>
      <c r="N223" s="183"/>
      <c r="O223" s="184"/>
      <c r="P223" s="184"/>
      <c r="T223" s="133"/>
      <c r="V223" s="185"/>
      <c r="W223" s="185"/>
    </row>
    <row r="224" spans="2:23" ht="15">
      <c r="B224" s="168"/>
      <c r="C224" s="93"/>
      <c r="D224" s="93"/>
      <c r="K224" s="133"/>
      <c r="N224" s="183"/>
      <c r="O224" s="185"/>
      <c r="P224" s="185">
        <f>AVERAGE(P9:P216)</f>
        <v>0.35302565387813806</v>
      </c>
      <c r="R224" s="185"/>
      <c r="S224" s="185">
        <f>AVERAGE(S9:S216)</f>
        <v>0.09032302959716859</v>
      </c>
      <c r="T224" s="133"/>
      <c r="V224" s="185">
        <f>AVERAGE(V9:V216)</f>
        <v>5.358875270044051</v>
      </c>
      <c r="W224" s="185"/>
    </row>
    <row r="225" spans="2:23" ht="15">
      <c r="B225" s="168"/>
      <c r="C225" s="93"/>
      <c r="D225" s="93"/>
      <c r="K225" s="133"/>
      <c r="N225" s="183"/>
      <c r="O225" s="185"/>
      <c r="P225" s="185">
        <f>MAX(P9:P216)</f>
        <v>0.6712686297482661</v>
      </c>
      <c r="R225" s="185"/>
      <c r="S225" s="185">
        <f>MAX(S9:S216)</f>
        <v>0.30354460766261576</v>
      </c>
      <c r="T225" s="133"/>
      <c r="V225" s="185">
        <f>MAX(V9:V216)</f>
        <v>5.8903398239796285</v>
      </c>
      <c r="W225" s="185"/>
    </row>
    <row r="226" spans="2:23" ht="15">
      <c r="B226" s="168"/>
      <c r="C226" s="93"/>
      <c r="D226" s="93"/>
      <c r="K226" s="133">
        <f>SUM(K220:T220)/H219</f>
        <v>5.401677567657964</v>
      </c>
      <c r="N226" s="183"/>
      <c r="O226" s="185"/>
      <c r="P226" s="185">
        <f>MIN(P9:P216)</f>
        <v>0</v>
      </c>
      <c r="R226" s="185"/>
      <c r="S226" s="185">
        <f>MIN(S9:S216)</f>
        <v>0</v>
      </c>
      <c r="T226" s="133"/>
      <c r="V226" s="185">
        <f>MIN(V9:V216)</f>
        <v>4.915526586568746</v>
      </c>
      <c r="W226" s="185"/>
    </row>
    <row r="227" spans="2:23" ht="15">
      <c r="B227" s="168"/>
      <c r="C227" s="93"/>
      <c r="D227" s="93"/>
      <c r="K227" s="133"/>
      <c r="N227" s="183"/>
      <c r="O227" s="184"/>
      <c r="P227" s="184"/>
      <c r="T227" s="133"/>
      <c r="V227" s="185"/>
      <c r="W227" s="185"/>
    </row>
    <row r="228" spans="2:23" ht="15">
      <c r="B228" s="168"/>
      <c r="C228" s="93"/>
      <c r="D228" s="93"/>
      <c r="K228" s="133"/>
      <c r="N228" s="183"/>
      <c r="O228" s="184"/>
      <c r="P228" s="184"/>
      <c r="T228" s="133"/>
      <c r="V228" s="185"/>
      <c r="W228" s="185">
        <f>F3/H219</f>
        <v>5.401677567657964</v>
      </c>
    </row>
    <row r="230" spans="11:22" ht="15">
      <c r="K230" s="184"/>
      <c r="O230" s="184"/>
      <c r="T230" s="184"/>
      <c r="V230" s="186"/>
    </row>
    <row r="231" spans="11:22" ht="15">
      <c r="K231" s="133"/>
      <c r="O231" s="184"/>
      <c r="T231" s="133"/>
      <c r="V231" s="185"/>
    </row>
    <row r="232" ht="15">
      <c r="V232" s="185"/>
    </row>
    <row r="235" ht="15">
      <c r="P235" s="184"/>
    </row>
    <row r="236" ht="15">
      <c r="P236" s="133"/>
    </row>
  </sheetData>
  <sheetProtection/>
  <mergeCells count="4">
    <mergeCell ref="E5:H5"/>
    <mergeCell ref="J5:K5"/>
    <mergeCell ref="M5:P5"/>
    <mergeCell ref="R5:T5"/>
  </mergeCells>
  <printOptions/>
  <pageMargins left="0.5905511811023623" right="0.3937007874015748" top="0.984251968503937" bottom="0.984251968503937" header="0.5118110236220472" footer="0.5118110236220472"/>
  <pageSetup fitToHeight="2" fitToWidth="1" horizontalDpi="600" verticalDpi="600" orientation="landscape" paperSize="8" scale="44" r:id="rId1"/>
  <headerFooter alignWithMargins="0">
    <oddFooter>&amp;L&amp;D&amp;C&amp;F</oddFooter>
  </headerFooter>
</worksheet>
</file>

<file path=xl/worksheets/sheet8.xml><?xml version="1.0" encoding="utf-8"?>
<worksheet xmlns="http://schemas.openxmlformats.org/spreadsheetml/2006/main" xmlns:r="http://schemas.openxmlformats.org/officeDocument/2006/relationships">
  <sheetPr>
    <tabColor theme="6"/>
    <pageSetUpPr fitToPage="1"/>
  </sheetPr>
  <dimension ref="A1:K187"/>
  <sheetViews>
    <sheetView zoomScalePageLayoutView="0" workbookViewId="0" topLeftCell="A1">
      <pane xSplit="3" ySplit="3" topLeftCell="D130" activePane="bottomRight" state="frozen"/>
      <selection pane="topLeft" activeCell="CD5" sqref="CD5:CD55"/>
      <selection pane="topRight" activeCell="CD5" sqref="CD5:CD55"/>
      <selection pane="bottomLeft" activeCell="CD5" sqref="CD5:CD55"/>
      <selection pane="bottomRight" activeCell="CD5" sqref="CD5:CD55"/>
    </sheetView>
  </sheetViews>
  <sheetFormatPr defaultColWidth="9.140625" defaultRowHeight="12.75"/>
  <cols>
    <col min="1" max="1" width="9.140625" style="306" customWidth="1"/>
    <col min="2" max="2" width="76.8515625" style="306" bestFit="1" customWidth="1"/>
    <col min="3" max="3" width="7.57421875" style="306" bestFit="1" customWidth="1"/>
    <col min="4" max="4" width="0.9921875" style="306" customWidth="1"/>
    <col min="5" max="6" width="16.8515625" style="306" customWidth="1"/>
    <col min="7" max="7" width="16.8515625" style="309" customWidth="1"/>
    <col min="8" max="8" width="10.57421875" style="308" customWidth="1"/>
    <col min="9" max="9" width="2.8515625" style="308" customWidth="1"/>
    <col min="10" max="10" width="10.421875" style="307" customWidth="1"/>
    <col min="11" max="11" width="19.421875" style="306" customWidth="1"/>
    <col min="12" max="12" width="3.57421875" style="306" customWidth="1"/>
    <col min="13" max="16384" width="9.140625" style="306" customWidth="1"/>
  </cols>
  <sheetData>
    <row r="1" spans="1:10" ht="21">
      <c r="A1" s="305" t="s">
        <v>476</v>
      </c>
      <c r="G1" s="307"/>
      <c r="J1" s="308"/>
    </row>
    <row r="2" ht="15">
      <c r="J2" s="308"/>
    </row>
    <row r="3" spans="2:11" s="312" customFormat="1" ht="30">
      <c r="B3" s="310" t="s">
        <v>116</v>
      </c>
      <c r="C3" s="311" t="s">
        <v>164</v>
      </c>
      <c r="E3" s="313" t="s">
        <v>165</v>
      </c>
      <c r="F3" s="313" t="s">
        <v>166</v>
      </c>
      <c r="G3" s="314" t="s">
        <v>167</v>
      </c>
      <c r="H3" s="315" t="s">
        <v>168</v>
      </c>
      <c r="I3" s="316"/>
      <c r="J3" s="317" t="s">
        <v>261</v>
      </c>
      <c r="K3" s="313" t="s">
        <v>477</v>
      </c>
    </row>
    <row r="4" spans="2:11" ht="15">
      <c r="B4" s="318" t="s">
        <v>269</v>
      </c>
      <c r="C4" s="319" t="s">
        <v>135</v>
      </c>
      <c r="E4" s="320">
        <f>G4/12*13</f>
        <v>1502.0416666666667</v>
      </c>
      <c r="F4" s="320">
        <f>VLOOKUP(B4,'[5]Autumn'!$A$568:$C$844,3,0)</f>
        <v>2368</v>
      </c>
      <c r="G4" s="321">
        <v>1386.5</v>
      </c>
      <c r="H4" s="322">
        <f aca="true" t="shared" si="0" ref="H4:H67">SUM(E4:G4)</f>
        <v>5256.541666666667</v>
      </c>
      <c r="J4" s="323">
        <f>VLOOKUP(B4,'[5]Draft (Universal)'!$A$9:$U$155,21,0)</f>
        <v>5.108547665782787</v>
      </c>
      <c r="K4" s="324">
        <f>H4*J4</f>
        <v>26853.29366133996</v>
      </c>
    </row>
    <row r="5" spans="2:11" s="327" customFormat="1" ht="15">
      <c r="B5" s="325" t="s">
        <v>271</v>
      </c>
      <c r="C5" s="326" t="s">
        <v>135</v>
      </c>
      <c r="E5" s="320">
        <f aca="true" t="shared" si="1" ref="E5:E68">G5/12*13</f>
        <v>195</v>
      </c>
      <c r="F5" s="328">
        <f>VLOOKUP(B5,'[5]Autumn'!$A$568:$C$844,3,0)</f>
        <v>0</v>
      </c>
      <c r="G5" s="328">
        <v>180</v>
      </c>
      <c r="H5" s="329">
        <f t="shared" si="0"/>
        <v>375</v>
      </c>
      <c r="I5" s="330"/>
      <c r="J5" s="331">
        <f>VLOOKUP(B5,'[5]Draft (Universal)'!$A$9:$U$155,21,0)</f>
        <v>5.293153505221652</v>
      </c>
      <c r="K5" s="332">
        <f aca="true" t="shared" si="2" ref="K5:K68">J5*H5</f>
        <v>1984.9325644581197</v>
      </c>
    </row>
    <row r="6" spans="2:11" s="327" customFormat="1" ht="15">
      <c r="B6" s="325" t="s">
        <v>272</v>
      </c>
      <c r="C6" s="326" t="s">
        <v>135</v>
      </c>
      <c r="E6" s="320">
        <f t="shared" si="1"/>
        <v>1365</v>
      </c>
      <c r="F6" s="328">
        <f>VLOOKUP(B6,'[5]Autumn'!$A$568:$C$844,3,0)</f>
        <v>780</v>
      </c>
      <c r="G6" s="328">
        <v>1260</v>
      </c>
      <c r="H6" s="329">
        <f t="shared" si="0"/>
        <v>3405</v>
      </c>
      <c r="I6" s="330"/>
      <c r="J6" s="331">
        <f>VLOOKUP(B6,'[5]Draft (Universal)'!$A$9:$U$155,21,0)</f>
        <v>5.081044878835442</v>
      </c>
      <c r="K6" s="332">
        <f t="shared" si="2"/>
        <v>17300.95781243468</v>
      </c>
    </row>
    <row r="7" spans="2:11" s="327" customFormat="1" ht="15">
      <c r="B7" s="333" t="s">
        <v>273</v>
      </c>
      <c r="C7" s="326" t="s">
        <v>135</v>
      </c>
      <c r="E7" s="320">
        <f t="shared" si="1"/>
        <v>195</v>
      </c>
      <c r="F7" s="328">
        <f>VLOOKUP(B7,'[5]Autumn'!$A$568:$C$844,3,0)</f>
        <v>0</v>
      </c>
      <c r="G7" s="328">
        <v>180</v>
      </c>
      <c r="H7" s="329">
        <f t="shared" si="0"/>
        <v>375</v>
      </c>
      <c r="I7" s="330"/>
      <c r="J7" s="331">
        <f>VLOOKUP(B7,'[5]Draft (Universal)'!$A$9:$U$155,21,0)</f>
        <v>5.778155203665534</v>
      </c>
      <c r="K7" s="332">
        <f t="shared" si="2"/>
        <v>2166.808201374575</v>
      </c>
    </row>
    <row r="8" spans="2:11" s="327" customFormat="1" ht="15">
      <c r="B8" s="325" t="s">
        <v>275</v>
      </c>
      <c r="C8" s="326" t="s">
        <v>135</v>
      </c>
      <c r="E8" s="320">
        <f t="shared" si="1"/>
        <v>390</v>
      </c>
      <c r="F8" s="328">
        <f>VLOOKUP(B8,'[5]Autumn'!$A$568:$C$844,3,0)</f>
        <v>195</v>
      </c>
      <c r="G8" s="328">
        <v>360</v>
      </c>
      <c r="H8" s="329">
        <f t="shared" si="0"/>
        <v>945</v>
      </c>
      <c r="I8" s="330"/>
      <c r="J8" s="331">
        <f>VLOOKUP(B8,'[5]Draft (Universal)'!$A$9:$U$155,21,0)</f>
        <v>5.689419008089223</v>
      </c>
      <c r="K8" s="332">
        <f t="shared" si="2"/>
        <v>5376.500962644315</v>
      </c>
    </row>
    <row r="9" spans="2:11" s="327" customFormat="1" ht="15">
      <c r="B9" s="334" t="s">
        <v>276</v>
      </c>
      <c r="C9" s="326" t="s">
        <v>135</v>
      </c>
      <c r="E9" s="320">
        <f t="shared" si="1"/>
        <v>2067</v>
      </c>
      <c r="F9" s="328">
        <f>VLOOKUP(B9,'[5]Autumn'!$A$568:$C$844,3,0)</f>
        <v>1896</v>
      </c>
      <c r="G9" s="328">
        <v>1908</v>
      </c>
      <c r="H9" s="329">
        <f t="shared" si="0"/>
        <v>5871</v>
      </c>
      <c r="I9" s="330"/>
      <c r="J9" s="331">
        <f>VLOOKUP(B9,'[5]Draft (Universal)'!$A$9:$U$155,21,0)</f>
        <v>5.138056735060637</v>
      </c>
      <c r="K9" s="332">
        <f t="shared" si="2"/>
        <v>30165.531091541</v>
      </c>
    </row>
    <row r="10" spans="2:11" s="327" customFormat="1" ht="15">
      <c r="B10" s="334" t="s">
        <v>278</v>
      </c>
      <c r="C10" s="326" t="s">
        <v>135</v>
      </c>
      <c r="E10" s="320">
        <f t="shared" si="1"/>
        <v>6814.166666666666</v>
      </c>
      <c r="F10" s="328">
        <f>VLOOKUP(B10,'[5]Autumn'!$A$568:$C$844,3,0)</f>
        <v>3770</v>
      </c>
      <c r="G10" s="328">
        <v>6290</v>
      </c>
      <c r="H10" s="329">
        <f t="shared" si="0"/>
        <v>16874.166666666664</v>
      </c>
      <c r="I10" s="330"/>
      <c r="J10" s="331">
        <f>VLOOKUP(B10,'[5]Draft (Universal)'!$A$9:$U$155,21,0)</f>
        <v>5.300931332381406</v>
      </c>
      <c r="K10" s="332">
        <f t="shared" si="2"/>
        <v>89448.79879115924</v>
      </c>
    </row>
    <row r="11" spans="2:11" s="327" customFormat="1" ht="15">
      <c r="B11" s="325" t="s">
        <v>280</v>
      </c>
      <c r="C11" s="326" t="s">
        <v>135</v>
      </c>
      <c r="E11" s="320">
        <f t="shared" si="1"/>
        <v>390</v>
      </c>
      <c r="F11" s="328">
        <f>VLOOKUP(B11,'[5]Autumn'!$A$568:$C$844,3,0)</f>
        <v>0</v>
      </c>
      <c r="G11" s="328">
        <v>360</v>
      </c>
      <c r="H11" s="329">
        <f t="shared" si="0"/>
        <v>750</v>
      </c>
      <c r="I11" s="330"/>
      <c r="J11" s="331">
        <f>VLOOKUP(B11,'[5]Draft (Universal)'!$A$9:$U$155,21,0)</f>
        <v>5.346793692530303</v>
      </c>
      <c r="K11" s="332">
        <f t="shared" si="2"/>
        <v>4010.0952693977274</v>
      </c>
    </row>
    <row r="12" spans="2:11" s="327" customFormat="1" ht="15">
      <c r="B12" s="333" t="s">
        <v>282</v>
      </c>
      <c r="C12" s="326" t="s">
        <v>135</v>
      </c>
      <c r="E12" s="320">
        <f t="shared" si="1"/>
        <v>2356.25</v>
      </c>
      <c r="F12" s="328">
        <f>VLOOKUP(B12,'[5]Autumn'!$A$568:$C$844,3,0)</f>
        <v>1580</v>
      </c>
      <c r="G12" s="328">
        <v>2175</v>
      </c>
      <c r="H12" s="329">
        <f t="shared" si="0"/>
        <v>6111.25</v>
      </c>
      <c r="I12" s="330"/>
      <c r="J12" s="331">
        <f>VLOOKUP(B12,'[5]Draft (Universal)'!$A$9:$U$155,21,0)</f>
        <v>5.296979662424752</v>
      </c>
      <c r="K12" s="332">
        <f t="shared" si="2"/>
        <v>32371.166961993265</v>
      </c>
    </row>
    <row r="13" spans="2:11" s="327" customFormat="1" ht="15">
      <c r="B13" s="325" t="s">
        <v>283</v>
      </c>
      <c r="C13" s="326" t="s">
        <v>135</v>
      </c>
      <c r="E13" s="320">
        <f t="shared" si="1"/>
        <v>1967.3333333333335</v>
      </c>
      <c r="F13" s="328">
        <f>VLOOKUP(B13,'[5]Autumn'!$A$568:$C$844,3,0)</f>
        <v>1526</v>
      </c>
      <c r="G13" s="328">
        <v>1816</v>
      </c>
      <c r="H13" s="329">
        <f t="shared" si="0"/>
        <v>5309.333333333334</v>
      </c>
      <c r="I13" s="330"/>
      <c r="J13" s="331">
        <f>VLOOKUP(B13,'[5]Draft (Universal)'!$A$9:$U$155,21,0)</f>
        <v>5.192585816901832</v>
      </c>
      <c r="K13" s="332">
        <f t="shared" si="2"/>
        <v>27569.168963870794</v>
      </c>
    </row>
    <row r="14" spans="2:11" s="327" customFormat="1" ht="15">
      <c r="B14" s="333" t="s">
        <v>286</v>
      </c>
      <c r="C14" s="326" t="s">
        <v>135</v>
      </c>
      <c r="E14" s="320">
        <f t="shared" si="1"/>
        <v>1950</v>
      </c>
      <c r="F14" s="328">
        <f>VLOOKUP(B14,'[5]Autumn'!$A$568:$C$844,3,0)</f>
        <v>967</v>
      </c>
      <c r="G14" s="328">
        <v>1800</v>
      </c>
      <c r="H14" s="329">
        <f t="shared" si="0"/>
        <v>4717</v>
      </c>
      <c r="I14" s="330"/>
      <c r="J14" s="331">
        <f>VLOOKUP(B14,'[5]Draft (Universal)'!$A$9:$U$155,21,0)</f>
        <v>5.337359831016338</v>
      </c>
      <c r="K14" s="332">
        <f t="shared" si="2"/>
        <v>25176.326322904064</v>
      </c>
    </row>
    <row r="15" spans="2:11" s="327" customFormat="1" ht="15">
      <c r="B15" s="325" t="s">
        <v>287</v>
      </c>
      <c r="C15" s="326" t="s">
        <v>135</v>
      </c>
      <c r="E15" s="320">
        <f t="shared" si="1"/>
        <v>975</v>
      </c>
      <c r="F15" s="328">
        <f>VLOOKUP(B15,'[5]Autumn'!$A$568:$C$844,3,0)</f>
        <v>975</v>
      </c>
      <c r="G15" s="328">
        <v>900</v>
      </c>
      <c r="H15" s="329">
        <f t="shared" si="0"/>
        <v>2850</v>
      </c>
      <c r="I15" s="330"/>
      <c r="J15" s="331">
        <f>VLOOKUP(B15,'[5]Draft (Universal)'!$A$9:$U$155,21,0)</f>
        <v>5.3690926846829</v>
      </c>
      <c r="K15" s="332">
        <f t="shared" si="2"/>
        <v>15301.914151346265</v>
      </c>
    </row>
    <row r="16" spans="2:11" s="327" customFormat="1" ht="15">
      <c r="B16" s="334" t="s">
        <v>288</v>
      </c>
      <c r="C16" s="326" t="s">
        <v>135</v>
      </c>
      <c r="E16" s="320">
        <f t="shared" si="1"/>
        <v>780</v>
      </c>
      <c r="F16" s="328">
        <f>VLOOKUP(B16,'[5]Autumn'!$A$568:$C$844,3,0)</f>
        <v>390</v>
      </c>
      <c r="G16" s="328">
        <v>720</v>
      </c>
      <c r="H16" s="329">
        <f t="shared" si="0"/>
        <v>1890</v>
      </c>
      <c r="I16" s="330"/>
      <c r="J16" s="331">
        <f>VLOOKUP(B16,'[5]Draft (Universal)'!$A$9:$U$155,21,0)</f>
        <v>5.6862005968507034</v>
      </c>
      <c r="K16" s="332">
        <f t="shared" si="2"/>
        <v>10746.91912804783</v>
      </c>
    </row>
    <row r="17" spans="2:11" s="327" customFormat="1" ht="15">
      <c r="B17" s="325" t="s">
        <v>341</v>
      </c>
      <c r="C17" s="326" t="s">
        <v>135</v>
      </c>
      <c r="E17" s="320">
        <f t="shared" si="1"/>
        <v>292.5</v>
      </c>
      <c r="F17" s="328">
        <f>VLOOKUP(B17,'[5]Autumn'!$A$568:$C$844,3,0)</f>
        <v>0</v>
      </c>
      <c r="G17" s="328">
        <v>270</v>
      </c>
      <c r="H17" s="329">
        <f t="shared" si="0"/>
        <v>562.5</v>
      </c>
      <c r="I17" s="330"/>
      <c r="J17" s="331">
        <f>VLOOKUP(B17,'[5]Draft (Universal)'!$A$9:$U$155,21,0)</f>
        <v>5.700606818585027</v>
      </c>
      <c r="K17" s="332">
        <f t="shared" si="2"/>
        <v>3206.5913354540776</v>
      </c>
    </row>
    <row r="18" spans="2:11" s="327" customFormat="1" ht="15">
      <c r="B18" s="325" t="s">
        <v>292</v>
      </c>
      <c r="C18" s="326" t="s">
        <v>135</v>
      </c>
      <c r="E18" s="320">
        <f t="shared" si="1"/>
        <v>1365</v>
      </c>
      <c r="F18" s="328">
        <f>VLOOKUP(B18,'[5]Autumn'!$A$568:$C$844,3,0)</f>
        <v>1365</v>
      </c>
      <c r="G18" s="328">
        <v>1260</v>
      </c>
      <c r="H18" s="329">
        <f t="shared" si="0"/>
        <v>3990</v>
      </c>
      <c r="I18" s="330"/>
      <c r="J18" s="331">
        <f>VLOOKUP(B18,'[5]Draft (Universal)'!$A$9:$U$155,21,0)</f>
        <v>5.093918523789519</v>
      </c>
      <c r="K18" s="332">
        <f t="shared" si="2"/>
        <v>20324.73490992018</v>
      </c>
    </row>
    <row r="19" spans="2:11" s="327" customFormat="1" ht="15">
      <c r="B19" s="325" t="s">
        <v>293</v>
      </c>
      <c r="C19" s="326" t="s">
        <v>135</v>
      </c>
      <c r="E19" s="320">
        <f t="shared" si="1"/>
        <v>2145</v>
      </c>
      <c r="F19" s="328">
        <f>VLOOKUP(B19,'[5]Autumn'!$A$568:$C$844,3,0)</f>
        <v>1755</v>
      </c>
      <c r="G19" s="328">
        <v>1980</v>
      </c>
      <c r="H19" s="329">
        <f t="shared" si="0"/>
        <v>5880</v>
      </c>
      <c r="I19" s="330"/>
      <c r="J19" s="331">
        <f>VLOOKUP(B19,'[5]Draft (Universal)'!$A$9:$U$155,21,0)</f>
        <v>5.128199201210087</v>
      </c>
      <c r="K19" s="332">
        <f t="shared" si="2"/>
        <v>30153.81130311531</v>
      </c>
    </row>
    <row r="20" spans="2:11" s="327" customFormat="1" ht="15">
      <c r="B20" s="318" t="s">
        <v>294</v>
      </c>
      <c r="C20" s="326" t="s">
        <v>135</v>
      </c>
      <c r="E20" s="320">
        <f t="shared" si="1"/>
        <v>585</v>
      </c>
      <c r="F20" s="328">
        <f>VLOOKUP(B20,'[5]Autumn'!$A$568:$C$844,3,0)</f>
        <v>585</v>
      </c>
      <c r="G20" s="328">
        <v>540</v>
      </c>
      <c r="H20" s="329">
        <f t="shared" si="0"/>
        <v>1710</v>
      </c>
      <c r="I20" s="330"/>
      <c r="J20" s="331">
        <f>VLOOKUP(B20,'[5]Draft (Universal)'!$A$9:$U$155,21,0)</f>
        <v>5.217137696921392</v>
      </c>
      <c r="K20" s="332">
        <f t="shared" si="2"/>
        <v>8921.30546173558</v>
      </c>
    </row>
    <row r="21" spans="2:11" s="327" customFormat="1" ht="15">
      <c r="B21" s="334" t="s">
        <v>297</v>
      </c>
      <c r="C21" s="326" t="s">
        <v>135</v>
      </c>
      <c r="E21" s="320">
        <f t="shared" si="1"/>
        <v>585</v>
      </c>
      <c r="F21" s="328">
        <f>VLOOKUP(B21,'[5]Autumn'!$A$568:$C$844,3,0)</f>
        <v>195</v>
      </c>
      <c r="G21" s="328">
        <v>540</v>
      </c>
      <c r="H21" s="329">
        <f t="shared" si="0"/>
        <v>1320</v>
      </c>
      <c r="I21" s="330"/>
      <c r="J21" s="331">
        <f>VLOOKUP(B21,'[5]Draft (Universal)'!$A$9:$U$155,21,0)</f>
        <v>5.077366694562849</v>
      </c>
      <c r="K21" s="332">
        <f t="shared" si="2"/>
        <v>6702.12403682296</v>
      </c>
    </row>
    <row r="22" spans="2:11" s="327" customFormat="1" ht="15">
      <c r="B22" s="325" t="s">
        <v>298</v>
      </c>
      <c r="C22" s="326" t="s">
        <v>135</v>
      </c>
      <c r="E22" s="320">
        <f t="shared" si="1"/>
        <v>546</v>
      </c>
      <c r="F22" s="328">
        <f>VLOOKUP(B22,'[5]Autumn'!$A$568:$C$844,3,0)</f>
        <v>390</v>
      </c>
      <c r="G22" s="328">
        <v>504</v>
      </c>
      <c r="H22" s="329">
        <f t="shared" si="0"/>
        <v>1440</v>
      </c>
      <c r="I22" s="330"/>
      <c r="J22" s="331">
        <f>VLOOKUP(B22,'[5]Draft (Universal)'!$A$9:$U$155,21,0)</f>
        <v>5.110470353016188</v>
      </c>
      <c r="K22" s="332">
        <f t="shared" si="2"/>
        <v>7359.0773083433105</v>
      </c>
    </row>
    <row r="23" spans="2:11" s="327" customFormat="1" ht="15">
      <c r="B23" s="325" t="s">
        <v>299</v>
      </c>
      <c r="C23" s="326" t="s">
        <v>135</v>
      </c>
      <c r="E23" s="320">
        <f t="shared" si="1"/>
        <v>195</v>
      </c>
      <c r="F23" s="328">
        <f>VLOOKUP(B23,'[5]Autumn'!$A$568:$C$844,3,0)</f>
        <v>0</v>
      </c>
      <c r="G23" s="328">
        <v>180</v>
      </c>
      <c r="H23" s="329">
        <f t="shared" si="0"/>
        <v>375</v>
      </c>
      <c r="I23" s="330"/>
      <c r="J23" s="331">
        <f>VLOOKUP(B23,'[5]Draft (Universal)'!$A$9:$U$155,21,0)</f>
        <v>5.347713238598452</v>
      </c>
      <c r="K23" s="332">
        <f t="shared" si="2"/>
        <v>2005.3924644744195</v>
      </c>
    </row>
    <row r="24" spans="2:11" s="327" customFormat="1" ht="15">
      <c r="B24" s="333" t="s">
        <v>300</v>
      </c>
      <c r="C24" s="326" t="s">
        <v>135</v>
      </c>
      <c r="E24" s="320">
        <f t="shared" si="1"/>
        <v>390</v>
      </c>
      <c r="F24" s="328">
        <f>VLOOKUP(B24,'[5]Autumn'!$A$568:$C$844,3,0)</f>
        <v>390</v>
      </c>
      <c r="G24" s="328">
        <v>360</v>
      </c>
      <c r="H24" s="329">
        <f t="shared" si="0"/>
        <v>1140</v>
      </c>
      <c r="I24" s="330"/>
      <c r="J24" s="331">
        <f>VLOOKUP(B24,'[5]Draft (Universal)'!$A$9:$U$155,21,0)</f>
        <v>5.059588803911981</v>
      </c>
      <c r="K24" s="332">
        <f t="shared" si="2"/>
        <v>5767.931236459659</v>
      </c>
    </row>
    <row r="25" spans="2:11" s="327" customFormat="1" ht="15">
      <c r="B25" s="335" t="s">
        <v>302</v>
      </c>
      <c r="C25" s="326" t="s">
        <v>135</v>
      </c>
      <c r="E25" s="320">
        <f t="shared" si="1"/>
        <v>2860</v>
      </c>
      <c r="F25" s="328">
        <f>VLOOKUP(B25,'[5]Autumn'!$A$568:$C$844,3,0)</f>
        <v>2580</v>
      </c>
      <c r="G25" s="328">
        <v>2640</v>
      </c>
      <c r="H25" s="329">
        <f t="shared" si="0"/>
        <v>8080</v>
      </c>
      <c r="I25" s="330"/>
      <c r="J25" s="331">
        <f>VLOOKUP(B25,'[5]Draft (Universal)'!$A$9:$U$155,21,0)</f>
        <v>5.7547955070571355</v>
      </c>
      <c r="K25" s="332">
        <f t="shared" si="2"/>
        <v>46498.74769702165</v>
      </c>
    </row>
    <row r="26" spans="2:11" s="327" customFormat="1" ht="15">
      <c r="B26" s="336" t="s">
        <v>304</v>
      </c>
      <c r="C26" s="326" t="s">
        <v>135</v>
      </c>
      <c r="E26" s="320">
        <f t="shared" si="1"/>
        <v>195</v>
      </c>
      <c r="F26" s="328">
        <v>0</v>
      </c>
      <c r="G26" s="328">
        <v>180</v>
      </c>
      <c r="H26" s="329">
        <f t="shared" si="0"/>
        <v>375</v>
      </c>
      <c r="I26" s="330"/>
      <c r="J26" s="331">
        <f>VLOOKUP(B26,'[5]Draft (Universal)'!$A$9:$U$155,21,0)</f>
        <v>5.176677669922866</v>
      </c>
      <c r="K26" s="332">
        <f t="shared" si="2"/>
        <v>1941.2541262210748</v>
      </c>
    </row>
    <row r="27" spans="2:11" s="327" customFormat="1" ht="15">
      <c r="B27" s="334" t="s">
        <v>305</v>
      </c>
      <c r="C27" s="326" t="s">
        <v>135</v>
      </c>
      <c r="E27" s="320">
        <f t="shared" si="1"/>
        <v>650</v>
      </c>
      <c r="F27" s="328">
        <f>VLOOKUP(B27,'[5]Autumn'!$A$568:$C$844,3,0)</f>
        <v>273</v>
      </c>
      <c r="G27" s="328">
        <v>600</v>
      </c>
      <c r="H27" s="329">
        <f t="shared" si="0"/>
        <v>1523</v>
      </c>
      <c r="I27" s="330"/>
      <c r="J27" s="331">
        <f>VLOOKUP(B27,'[5]Draft (Universal)'!$A$9:$U$155,21,0)</f>
        <v>5.126286545388339</v>
      </c>
      <c r="K27" s="332">
        <f t="shared" si="2"/>
        <v>7807.334408626441</v>
      </c>
    </row>
    <row r="28" spans="2:11" s="327" customFormat="1" ht="15">
      <c r="B28" s="325" t="s">
        <v>306</v>
      </c>
      <c r="C28" s="326" t="s">
        <v>135</v>
      </c>
      <c r="E28" s="320">
        <f t="shared" si="1"/>
        <v>2372.5</v>
      </c>
      <c r="F28" s="328">
        <f>VLOOKUP(B28,'[5]Autumn'!$A$568:$C$844,3,0)</f>
        <v>1300</v>
      </c>
      <c r="G28" s="328">
        <v>2190</v>
      </c>
      <c r="H28" s="329">
        <f t="shared" si="0"/>
        <v>5862.5</v>
      </c>
      <c r="I28" s="330"/>
      <c r="J28" s="331">
        <f>VLOOKUP(B28,'[5]Draft (Universal)'!$A$9:$U$155,21,0)</f>
        <v>5.771350562761237</v>
      </c>
      <c r="K28" s="332">
        <f t="shared" si="2"/>
        <v>33834.54267418775</v>
      </c>
    </row>
    <row r="29" spans="2:11" s="327" customFormat="1" ht="13.5" customHeight="1">
      <c r="B29" s="325" t="s">
        <v>308</v>
      </c>
      <c r="C29" s="326" t="s">
        <v>135</v>
      </c>
      <c r="E29" s="320">
        <f t="shared" si="1"/>
        <v>585</v>
      </c>
      <c r="F29" s="328">
        <f>VLOOKUP(B29,'[5]Autumn'!$A$568:$C$844,3,0)</f>
        <v>195</v>
      </c>
      <c r="G29" s="328">
        <v>540</v>
      </c>
      <c r="H29" s="329">
        <f t="shared" si="0"/>
        <v>1320</v>
      </c>
      <c r="I29" s="330"/>
      <c r="J29" s="331">
        <f>VLOOKUP(B29,'[5]Draft (Universal)'!$A$9:$U$155,21,0)</f>
        <v>5.077979725274948</v>
      </c>
      <c r="K29" s="332">
        <f t="shared" si="2"/>
        <v>6702.933237362931</v>
      </c>
    </row>
    <row r="30" spans="2:11" s="327" customFormat="1" ht="13.5" customHeight="1">
      <c r="B30" s="325" t="s">
        <v>310</v>
      </c>
      <c r="C30" s="326" t="s">
        <v>135</v>
      </c>
      <c r="E30" s="320">
        <f t="shared" si="1"/>
        <v>965.25</v>
      </c>
      <c r="F30" s="328">
        <f>VLOOKUP(B30,'[5]Autumn'!$A$568:$C$844,3,0)</f>
        <v>858</v>
      </c>
      <c r="G30" s="328">
        <v>891</v>
      </c>
      <c r="H30" s="329">
        <f t="shared" si="0"/>
        <v>2714.25</v>
      </c>
      <c r="I30" s="330"/>
      <c r="J30" s="331">
        <f>VLOOKUP(B30,'[5]Draft (Universal)'!$A$9:$U$155,21,0)</f>
        <v>5.764603998450717</v>
      </c>
      <c r="K30" s="332">
        <f t="shared" si="2"/>
        <v>15646.576402794859</v>
      </c>
    </row>
    <row r="31" spans="2:11" s="327" customFormat="1" ht="13.5" customHeight="1">
      <c r="B31" s="334" t="s">
        <v>311</v>
      </c>
      <c r="C31" s="326" t="s">
        <v>135</v>
      </c>
      <c r="E31" s="320">
        <f t="shared" si="1"/>
        <v>195</v>
      </c>
      <c r="F31" s="328">
        <f>VLOOKUP(B31,'[5]Autumn'!$A$568:$C$844,3,0)</f>
        <v>0</v>
      </c>
      <c r="G31" s="328">
        <v>180</v>
      </c>
      <c r="H31" s="329">
        <f t="shared" si="0"/>
        <v>375</v>
      </c>
      <c r="I31" s="330"/>
      <c r="J31" s="331">
        <f>VLOOKUP(B31,'[5]Draft (Universal)'!$A$9:$U$155,21,0)</f>
        <v>4.915526586568746</v>
      </c>
      <c r="K31" s="332">
        <f t="shared" si="2"/>
        <v>1843.32246996328</v>
      </c>
    </row>
    <row r="32" spans="2:11" s="327" customFormat="1" ht="15">
      <c r="B32" s="336" t="s">
        <v>314</v>
      </c>
      <c r="C32" s="326" t="s">
        <v>135</v>
      </c>
      <c r="E32" s="320">
        <f t="shared" si="1"/>
        <v>195</v>
      </c>
      <c r="F32" s="328">
        <v>0</v>
      </c>
      <c r="G32" s="328">
        <v>180</v>
      </c>
      <c r="H32" s="329">
        <f t="shared" si="0"/>
        <v>375</v>
      </c>
      <c r="I32" s="330"/>
      <c r="J32" s="331">
        <f>VLOOKUP(B32,'[5]Draft (Universal)'!$A$9:$U$155,21,0)</f>
        <v>5.3311614093717825</v>
      </c>
      <c r="K32" s="332">
        <f t="shared" si="2"/>
        <v>1999.1855285144184</v>
      </c>
    </row>
    <row r="33" spans="2:11" s="327" customFormat="1" ht="15">
      <c r="B33" s="325" t="s">
        <v>316</v>
      </c>
      <c r="C33" s="326" t="s">
        <v>135</v>
      </c>
      <c r="E33" s="320">
        <f t="shared" si="1"/>
        <v>195</v>
      </c>
      <c r="F33" s="328">
        <f>VLOOKUP(B33,'[5]Autumn'!$A$568:$C$844,3,0)</f>
        <v>0</v>
      </c>
      <c r="G33" s="328">
        <v>180</v>
      </c>
      <c r="H33" s="329">
        <f t="shared" si="0"/>
        <v>375</v>
      </c>
      <c r="I33" s="330"/>
      <c r="J33" s="331">
        <f>VLOOKUP(B33,'[5]Draft (Universal)'!$A$9:$U$155,21,0)</f>
        <v>5.69907424180478</v>
      </c>
      <c r="K33" s="332">
        <f t="shared" si="2"/>
        <v>2137.1528406767925</v>
      </c>
    </row>
    <row r="34" spans="2:11" s="327" customFormat="1" ht="15">
      <c r="B34" s="333" t="s">
        <v>317</v>
      </c>
      <c r="C34" s="326" t="s">
        <v>135</v>
      </c>
      <c r="E34" s="320">
        <f t="shared" si="1"/>
        <v>585</v>
      </c>
      <c r="F34" s="328">
        <f>VLOOKUP(B34,'[5]Autumn'!$A$568:$C$844,3,0)</f>
        <v>390</v>
      </c>
      <c r="G34" s="328">
        <v>540</v>
      </c>
      <c r="H34" s="329">
        <f t="shared" si="0"/>
        <v>1515</v>
      </c>
      <c r="I34" s="330"/>
      <c r="J34" s="331">
        <f>VLOOKUP(B34,'[5]Draft (Universal)'!$A$9:$U$155,21,0)</f>
        <v>4.915526586568746</v>
      </c>
      <c r="K34" s="332">
        <f t="shared" si="2"/>
        <v>7447.022778651651</v>
      </c>
    </row>
    <row r="35" spans="2:11" s="327" customFormat="1" ht="15">
      <c r="B35" s="336" t="s">
        <v>320</v>
      </c>
      <c r="C35" s="326" t="s">
        <v>135</v>
      </c>
      <c r="E35" s="320">
        <f t="shared" si="1"/>
        <v>1560</v>
      </c>
      <c r="F35" s="328">
        <f>VLOOKUP(B35,'[5]Autumn'!$A$568:$C$844,3,0)</f>
        <v>390</v>
      </c>
      <c r="G35" s="328">
        <v>1440</v>
      </c>
      <c r="H35" s="329">
        <f t="shared" si="0"/>
        <v>3390</v>
      </c>
      <c r="I35" s="330"/>
      <c r="J35" s="331">
        <f>VLOOKUP(B35,'[5]Draft (Universal)'!$A$9:$U$155,21,0)</f>
        <v>5.739902087230565</v>
      </c>
      <c r="K35" s="332">
        <f t="shared" si="2"/>
        <v>19458.268075711614</v>
      </c>
    </row>
    <row r="36" spans="2:11" s="327" customFormat="1" ht="15">
      <c r="B36" s="325" t="s">
        <v>319</v>
      </c>
      <c r="C36" s="326" t="s">
        <v>135</v>
      </c>
      <c r="E36" s="320">
        <f t="shared" si="1"/>
        <v>780</v>
      </c>
      <c r="F36" s="328">
        <f>VLOOKUP(B36,'[5]Autumn'!$A$568:$C$844,3,0)</f>
        <v>170</v>
      </c>
      <c r="G36" s="328">
        <v>720</v>
      </c>
      <c r="H36" s="329">
        <f t="shared" si="0"/>
        <v>1670</v>
      </c>
      <c r="I36" s="330"/>
      <c r="J36" s="331">
        <f>VLOOKUP(B36,'[5]Draft (Universal)'!$A$9:$U$155,21,0)</f>
        <v>5.286287561246144</v>
      </c>
      <c r="K36" s="332">
        <f t="shared" si="2"/>
        <v>8828.100227281062</v>
      </c>
    </row>
    <row r="37" spans="2:11" s="327" customFormat="1" ht="15">
      <c r="B37" s="318" t="s">
        <v>321</v>
      </c>
      <c r="C37" s="326" t="s">
        <v>135</v>
      </c>
      <c r="E37" s="320">
        <f t="shared" si="1"/>
        <v>1755</v>
      </c>
      <c r="F37" s="328">
        <f>VLOOKUP(B37,'[5]Autumn'!$A$568:$C$844,3,0)</f>
        <v>1245</v>
      </c>
      <c r="G37" s="328">
        <v>1620</v>
      </c>
      <c r="H37" s="329">
        <f t="shared" si="0"/>
        <v>4620</v>
      </c>
      <c r="I37" s="330"/>
      <c r="J37" s="331">
        <f>VLOOKUP(B37,'[5]Draft (Universal)'!$A$9:$U$155,21,0)</f>
        <v>5.716404148473729</v>
      </c>
      <c r="K37" s="332">
        <f t="shared" si="2"/>
        <v>26409.78716594863</v>
      </c>
    </row>
    <row r="38" spans="2:11" s="327" customFormat="1" ht="15">
      <c r="B38" s="318" t="s">
        <v>322</v>
      </c>
      <c r="C38" s="326" t="s">
        <v>135</v>
      </c>
      <c r="E38" s="320">
        <f t="shared" si="1"/>
        <v>2665</v>
      </c>
      <c r="F38" s="328">
        <f>VLOOKUP(B38,'[5]Autumn'!$A$568:$C$844,3,0)</f>
        <v>1820</v>
      </c>
      <c r="G38" s="328">
        <v>2460</v>
      </c>
      <c r="H38" s="329">
        <f t="shared" si="0"/>
        <v>6945</v>
      </c>
      <c r="I38" s="330"/>
      <c r="J38" s="331">
        <f>VLOOKUP(B38,'[5]Draft (Universal)'!$A$9:$U$155,21,0)</f>
        <v>5.739714571953923</v>
      </c>
      <c r="K38" s="332">
        <f t="shared" si="2"/>
        <v>39862.317702219996</v>
      </c>
    </row>
    <row r="39" spans="2:11" s="327" customFormat="1" ht="15">
      <c r="B39" s="325" t="s">
        <v>325</v>
      </c>
      <c r="C39" s="326" t="s">
        <v>135</v>
      </c>
      <c r="E39" s="320">
        <f t="shared" si="1"/>
        <v>2613</v>
      </c>
      <c r="F39" s="328">
        <f>VLOOKUP(B39,'[5]Autumn'!$A$568:$C$844,3,0)</f>
        <v>2199</v>
      </c>
      <c r="G39" s="328">
        <v>2412</v>
      </c>
      <c r="H39" s="329">
        <f t="shared" si="0"/>
        <v>7224</v>
      </c>
      <c r="I39" s="330"/>
      <c r="J39" s="331">
        <f>VLOOKUP(B39,'[5]Draft (Universal)'!$A$9:$U$155,21,0)</f>
        <v>5.135482006069822</v>
      </c>
      <c r="K39" s="332">
        <f t="shared" si="2"/>
        <v>37098.72201184839</v>
      </c>
    </row>
    <row r="40" spans="2:11" s="327" customFormat="1" ht="15">
      <c r="B40" s="325" t="s">
        <v>326</v>
      </c>
      <c r="C40" s="326" t="s">
        <v>135</v>
      </c>
      <c r="E40" s="320">
        <f t="shared" si="1"/>
        <v>1365</v>
      </c>
      <c r="F40" s="328">
        <f>VLOOKUP(B40,'[5]Autumn'!$A$568:$C$844,3,0)</f>
        <v>585</v>
      </c>
      <c r="G40" s="328">
        <v>1260</v>
      </c>
      <c r="H40" s="329">
        <f t="shared" si="0"/>
        <v>3210</v>
      </c>
      <c r="I40" s="330"/>
      <c r="J40" s="331">
        <f>VLOOKUP(B40,'[5]Draft (Universal)'!$A$9:$U$155,21,0)</f>
        <v>5.3161241266102985</v>
      </c>
      <c r="K40" s="332">
        <f t="shared" si="2"/>
        <v>17064.75844641906</v>
      </c>
    </row>
    <row r="41" spans="2:11" s="327" customFormat="1" ht="15">
      <c r="B41" s="334" t="s">
        <v>328</v>
      </c>
      <c r="C41" s="326" t="s">
        <v>135</v>
      </c>
      <c r="E41" s="320">
        <f t="shared" si="1"/>
        <v>390</v>
      </c>
      <c r="F41" s="328">
        <f>VLOOKUP(B41,'[5]Autumn'!$A$568:$C$844,3,0)</f>
        <v>195</v>
      </c>
      <c r="G41" s="328">
        <v>360</v>
      </c>
      <c r="H41" s="329">
        <f t="shared" si="0"/>
        <v>945</v>
      </c>
      <c r="I41" s="330"/>
      <c r="J41" s="331">
        <f>VLOOKUP(B41,'[5]Draft (Universal)'!$A$9:$U$155,21,0)</f>
        <v>5.132539458651747</v>
      </c>
      <c r="K41" s="332">
        <f t="shared" si="2"/>
        <v>4850.249788425901</v>
      </c>
    </row>
    <row r="42" spans="2:11" s="327" customFormat="1" ht="15">
      <c r="B42" s="325" t="s">
        <v>289</v>
      </c>
      <c r="C42" s="326" t="s">
        <v>135</v>
      </c>
      <c r="E42" s="320">
        <f t="shared" si="1"/>
        <v>195</v>
      </c>
      <c r="F42" s="328">
        <f>VLOOKUP(B42,'[5]Autumn'!$A$568:$C$844,3,0)</f>
        <v>195</v>
      </c>
      <c r="G42" s="328">
        <v>180</v>
      </c>
      <c r="H42" s="329">
        <f t="shared" si="0"/>
        <v>570</v>
      </c>
      <c r="I42" s="330"/>
      <c r="J42" s="331">
        <f>VLOOKUP(B42,'[5]Draft (Universal)'!$A$9:$U$155,21,0)</f>
        <v>5.285184105964367</v>
      </c>
      <c r="K42" s="332">
        <f t="shared" si="2"/>
        <v>3012.5549403996893</v>
      </c>
    </row>
    <row r="43" spans="2:11" s="327" customFormat="1" ht="15">
      <c r="B43" s="325" t="s">
        <v>330</v>
      </c>
      <c r="C43" s="326" t="s">
        <v>135</v>
      </c>
      <c r="E43" s="320">
        <f t="shared" si="1"/>
        <v>1950</v>
      </c>
      <c r="F43" s="328">
        <f>VLOOKUP(B43,'[5]Autumn'!$A$568:$C$844,3,0)</f>
        <v>1950</v>
      </c>
      <c r="G43" s="328">
        <v>1800</v>
      </c>
      <c r="H43" s="329">
        <f t="shared" si="0"/>
        <v>5700</v>
      </c>
      <c r="I43" s="330"/>
      <c r="J43" s="331">
        <f>VLOOKUP(B43,'[5]Draft (Universal)'!$A$9:$U$155,21,0)</f>
        <v>5.14105735907249</v>
      </c>
      <c r="K43" s="332">
        <f t="shared" si="2"/>
        <v>29304.02694671319</v>
      </c>
    </row>
    <row r="44" spans="2:11" s="327" customFormat="1" ht="15">
      <c r="B44" s="325" t="s">
        <v>331</v>
      </c>
      <c r="C44" s="326" t="s">
        <v>135</v>
      </c>
      <c r="E44" s="320">
        <f t="shared" si="1"/>
        <v>1608.75</v>
      </c>
      <c r="F44" s="328">
        <f>VLOOKUP(B44,'[5]Autumn'!$A$568:$C$844,3,0)</f>
        <v>1170</v>
      </c>
      <c r="G44" s="328">
        <v>1485</v>
      </c>
      <c r="H44" s="329">
        <f t="shared" si="0"/>
        <v>4263.75</v>
      </c>
      <c r="I44" s="330"/>
      <c r="J44" s="331">
        <f>VLOOKUP(B44,'[5]Draft (Universal)'!$A$9:$U$155,21,0)</f>
        <v>5.701947823267743</v>
      </c>
      <c r="K44" s="332">
        <f t="shared" si="2"/>
        <v>24311.68003145784</v>
      </c>
    </row>
    <row r="45" spans="2:11" s="327" customFormat="1" ht="15">
      <c r="B45" s="336" t="s">
        <v>334</v>
      </c>
      <c r="C45" s="326" t="s">
        <v>135</v>
      </c>
      <c r="E45" s="320">
        <f t="shared" si="1"/>
        <v>1365</v>
      </c>
      <c r="F45" s="328">
        <v>1560</v>
      </c>
      <c r="G45" s="328">
        <v>1260</v>
      </c>
      <c r="H45" s="329">
        <f t="shared" si="0"/>
        <v>4185</v>
      </c>
      <c r="I45" s="330"/>
      <c r="J45" s="331">
        <f>VLOOKUP(B45,'[5]Draft (Universal)'!$A$9:$U$155,21,0)</f>
        <v>5.713130160275047</v>
      </c>
      <c r="K45" s="332">
        <f t="shared" si="2"/>
        <v>23909.449720751072</v>
      </c>
    </row>
    <row r="46" spans="2:11" s="327" customFormat="1" ht="15">
      <c r="B46" s="325" t="s">
        <v>332</v>
      </c>
      <c r="C46" s="326" t="s">
        <v>135</v>
      </c>
      <c r="E46" s="320">
        <f t="shared" si="1"/>
        <v>195</v>
      </c>
      <c r="F46" s="328">
        <f>VLOOKUP(B46,'[5]Autumn'!$A$568:$C$844,3,0)</f>
        <v>0</v>
      </c>
      <c r="G46" s="328">
        <v>180</v>
      </c>
      <c r="H46" s="329">
        <f t="shared" si="0"/>
        <v>375</v>
      </c>
      <c r="I46" s="330"/>
      <c r="J46" s="331">
        <f>VLOOKUP(B46,'[5]Draft (Universal)'!$A$9:$U$155,21,0)</f>
        <v>5.8422169130798665</v>
      </c>
      <c r="K46" s="332">
        <f t="shared" si="2"/>
        <v>2190.8313424049497</v>
      </c>
    </row>
    <row r="47" spans="2:11" s="327" customFormat="1" ht="15">
      <c r="B47" s="325" t="s">
        <v>333</v>
      </c>
      <c r="C47" s="326" t="s">
        <v>135</v>
      </c>
      <c r="E47" s="320">
        <f t="shared" si="1"/>
        <v>1950</v>
      </c>
      <c r="F47" s="328">
        <f>VLOOKUP(B47,'[5]Autumn'!$A$568:$C$844,3,0)</f>
        <v>1950</v>
      </c>
      <c r="G47" s="328">
        <v>1800</v>
      </c>
      <c r="H47" s="329">
        <f t="shared" si="0"/>
        <v>5700</v>
      </c>
      <c r="I47" s="330"/>
      <c r="J47" s="331">
        <f>VLOOKUP(B47,'[5]Draft (Universal)'!$A$9:$U$155,21,0)</f>
        <v>5.685018323334512</v>
      </c>
      <c r="K47" s="332">
        <f t="shared" si="2"/>
        <v>32404.60444300672</v>
      </c>
    </row>
    <row r="48" spans="2:11" s="327" customFormat="1" ht="15">
      <c r="B48" s="325" t="s">
        <v>335</v>
      </c>
      <c r="C48" s="326" t="s">
        <v>135</v>
      </c>
      <c r="E48" s="320">
        <f t="shared" si="1"/>
        <v>390</v>
      </c>
      <c r="F48" s="328">
        <f>VLOOKUP(B48,'[5]Autumn'!$A$568:$C$844,3,0)</f>
        <v>195</v>
      </c>
      <c r="G48" s="328">
        <v>360</v>
      </c>
      <c r="H48" s="329">
        <f t="shared" si="0"/>
        <v>945</v>
      </c>
      <c r="I48" s="330"/>
      <c r="J48" s="331">
        <f>VLOOKUP(B48,'[5]Draft (Universal)'!$A$9:$U$155,21,0)</f>
        <v>5.76275280702405</v>
      </c>
      <c r="K48" s="332">
        <f t="shared" si="2"/>
        <v>5445.801402637728</v>
      </c>
    </row>
    <row r="49" spans="2:11" s="327" customFormat="1" ht="15">
      <c r="B49" s="336" t="s">
        <v>338</v>
      </c>
      <c r="C49" s="326" t="s">
        <v>135</v>
      </c>
      <c r="E49" s="320">
        <f t="shared" si="1"/>
        <v>5148</v>
      </c>
      <c r="F49" s="328">
        <v>2418</v>
      </c>
      <c r="G49" s="328">
        <v>4752</v>
      </c>
      <c r="H49" s="329">
        <f t="shared" si="0"/>
        <v>12318</v>
      </c>
      <c r="I49" s="330"/>
      <c r="J49" s="331">
        <f>VLOOKUP(B49,'[5]Draft (Universal)'!$A$9:$U$155,21,0)</f>
        <v>5.3183820768349515</v>
      </c>
      <c r="K49" s="332">
        <f t="shared" si="2"/>
        <v>65511.830422452935</v>
      </c>
    </row>
    <row r="50" spans="2:11" s="327" customFormat="1" ht="15">
      <c r="B50" s="325" t="s">
        <v>337</v>
      </c>
      <c r="C50" s="326" t="s">
        <v>135</v>
      </c>
      <c r="E50" s="320">
        <f t="shared" si="1"/>
        <v>7800</v>
      </c>
      <c r="F50" s="328">
        <f>VLOOKUP(B50,'[5]Autumn'!$A$568:$C$844,3,0)</f>
        <v>5135</v>
      </c>
      <c r="G50" s="328">
        <v>7200</v>
      </c>
      <c r="H50" s="329">
        <f t="shared" si="0"/>
        <v>20135</v>
      </c>
      <c r="I50" s="330"/>
      <c r="J50" s="331">
        <f>VLOOKUP(B50,'[5]Draft (Universal)'!$A$9:$U$155,21,0)</f>
        <v>5.272157203332266</v>
      </c>
      <c r="K50" s="332">
        <f t="shared" si="2"/>
        <v>106154.88528909517</v>
      </c>
    </row>
    <row r="51" spans="2:11" s="327" customFormat="1" ht="15">
      <c r="B51" s="325" t="s">
        <v>342</v>
      </c>
      <c r="C51" s="326" t="s">
        <v>135</v>
      </c>
      <c r="E51" s="320">
        <f t="shared" si="1"/>
        <v>390</v>
      </c>
      <c r="F51" s="328">
        <f>VLOOKUP(B51,'[5]Autumn'!$A$568:$C$844,3,0)</f>
        <v>0</v>
      </c>
      <c r="G51" s="328">
        <v>360</v>
      </c>
      <c r="H51" s="329">
        <f t="shared" si="0"/>
        <v>750</v>
      </c>
      <c r="I51" s="330"/>
      <c r="J51" s="331">
        <f>VLOOKUP(B51,'[5]Draft (Universal)'!$A$9:$U$155,21,0)</f>
        <v>5.779074749733683</v>
      </c>
      <c r="K51" s="332">
        <f t="shared" si="2"/>
        <v>4334.306062300262</v>
      </c>
    </row>
    <row r="52" spans="2:11" s="327" customFormat="1" ht="15">
      <c r="B52" s="325" t="s">
        <v>344</v>
      </c>
      <c r="C52" s="326" t="s">
        <v>135</v>
      </c>
      <c r="E52" s="320">
        <f t="shared" si="1"/>
        <v>6695</v>
      </c>
      <c r="F52" s="328">
        <f>VLOOKUP(B52,'[5]Autumn'!$A$568:$C$844,3,0)</f>
        <v>4875</v>
      </c>
      <c r="G52" s="328">
        <v>6180</v>
      </c>
      <c r="H52" s="329">
        <f t="shared" si="0"/>
        <v>17750</v>
      </c>
      <c r="I52" s="330"/>
      <c r="J52" s="331">
        <f>VLOOKUP(B52,'[5]Draft (Universal)'!$A$9:$U$155,21,0)</f>
        <v>5.715979742596122</v>
      </c>
      <c r="K52" s="332">
        <f t="shared" si="2"/>
        <v>101458.64043108118</v>
      </c>
    </row>
    <row r="53" spans="2:11" s="327" customFormat="1" ht="15">
      <c r="B53" s="333" t="s">
        <v>347</v>
      </c>
      <c r="C53" s="326" t="s">
        <v>135</v>
      </c>
      <c r="E53" s="320">
        <f t="shared" si="1"/>
        <v>2730</v>
      </c>
      <c r="F53" s="328">
        <f>VLOOKUP(B53,'[5]Autumn'!$A$568:$C$844,3,0)</f>
        <v>1560</v>
      </c>
      <c r="G53" s="328">
        <v>2520</v>
      </c>
      <c r="H53" s="329">
        <f t="shared" si="0"/>
        <v>6810</v>
      </c>
      <c r="I53" s="330"/>
      <c r="J53" s="331">
        <f>VLOOKUP(B53,'[5]Draft (Universal)'!$A$9:$U$155,21,0)</f>
        <v>5.1608034009569375</v>
      </c>
      <c r="K53" s="332">
        <f t="shared" si="2"/>
        <v>35145.071160516745</v>
      </c>
    </row>
    <row r="54" spans="2:11" s="327" customFormat="1" ht="15">
      <c r="B54" s="333" t="s">
        <v>349</v>
      </c>
      <c r="C54" s="326" t="s">
        <v>135</v>
      </c>
      <c r="E54" s="320">
        <f t="shared" si="1"/>
        <v>1461.9583333333333</v>
      </c>
      <c r="F54" s="328">
        <f>VLOOKUP(B54,'[5]Autumn'!$A$568:$C$844,3,0)</f>
        <v>1958</v>
      </c>
      <c r="G54" s="328">
        <v>1349.5</v>
      </c>
      <c r="H54" s="329">
        <f t="shared" si="0"/>
        <v>4769.458333333333</v>
      </c>
      <c r="I54" s="330"/>
      <c r="J54" s="331">
        <f>VLOOKUP(B54,'[5]Draft (Universal)'!$A$9:$U$155,21,0)</f>
        <v>5.349158239562685</v>
      </c>
      <c r="K54" s="332">
        <f t="shared" si="2"/>
        <v>25512.587342000912</v>
      </c>
    </row>
    <row r="55" spans="2:11" s="327" customFormat="1" ht="15">
      <c r="B55" s="333" t="s">
        <v>350</v>
      </c>
      <c r="C55" s="326" t="s">
        <v>135</v>
      </c>
      <c r="E55" s="320">
        <f t="shared" si="1"/>
        <v>6045</v>
      </c>
      <c r="F55" s="328">
        <f>VLOOKUP(B55,'[5]Autumn'!$A$568:$C$844,3,0)</f>
        <v>3744</v>
      </c>
      <c r="G55" s="328">
        <v>5580</v>
      </c>
      <c r="H55" s="329">
        <f t="shared" si="0"/>
        <v>15369</v>
      </c>
      <c r="I55" s="330"/>
      <c r="J55" s="331">
        <f>VLOOKUP(B55,'[5]Draft (Universal)'!$A$9:$U$155,21,0)</f>
        <v>5.160438877655566</v>
      </c>
      <c r="K55" s="332">
        <f t="shared" si="2"/>
        <v>79310.78511068839</v>
      </c>
    </row>
    <row r="56" spans="2:11" s="327" customFormat="1" ht="15.75" customHeight="1">
      <c r="B56" s="336" t="s">
        <v>340</v>
      </c>
      <c r="C56" s="326" t="s">
        <v>135</v>
      </c>
      <c r="E56" s="320">
        <f t="shared" si="1"/>
        <v>1183</v>
      </c>
      <c r="F56" s="328">
        <v>0</v>
      </c>
      <c r="G56" s="328">
        <v>1092</v>
      </c>
      <c r="H56" s="329">
        <f t="shared" si="0"/>
        <v>2275</v>
      </c>
      <c r="I56" s="330"/>
      <c r="J56" s="331">
        <f>VLOOKUP(B56,'[5]Draft (Universal)'!$A$9:$U$155,21,0)</f>
        <v>5.3311614093717825</v>
      </c>
      <c r="K56" s="332">
        <f t="shared" si="2"/>
        <v>12128.392206320805</v>
      </c>
    </row>
    <row r="57" spans="2:11" s="327" customFormat="1" ht="15.75" customHeight="1">
      <c r="B57" s="318" t="s">
        <v>354</v>
      </c>
      <c r="C57" s="326" t="s">
        <v>135</v>
      </c>
      <c r="E57" s="320">
        <f t="shared" si="1"/>
        <v>1170</v>
      </c>
      <c r="F57" s="328">
        <f>VLOOKUP(B57,'[5]Autumn'!$A$568:$C$844,3,0)</f>
        <v>975</v>
      </c>
      <c r="G57" s="328">
        <v>1080</v>
      </c>
      <c r="H57" s="329">
        <f t="shared" si="0"/>
        <v>3225</v>
      </c>
      <c r="I57" s="330"/>
      <c r="J57" s="331">
        <f>VLOOKUP(B57,'[5]Draft (Universal)'!$A$9:$U$155,21,0)</f>
        <v>5.338517777916969</v>
      </c>
      <c r="K57" s="332">
        <f t="shared" si="2"/>
        <v>17216.719833782223</v>
      </c>
    </row>
    <row r="58" spans="2:11" s="327" customFormat="1" ht="15.75" customHeight="1">
      <c r="B58" s="318" t="s">
        <v>353</v>
      </c>
      <c r="C58" s="326" t="s">
        <v>135</v>
      </c>
      <c r="E58" s="320">
        <f t="shared" si="1"/>
        <v>2470</v>
      </c>
      <c r="F58" s="328">
        <f>VLOOKUP(B58,'[5]Autumn'!$A$568:$C$844,3,0)</f>
        <v>1950</v>
      </c>
      <c r="G58" s="328">
        <v>2280</v>
      </c>
      <c r="H58" s="329">
        <f t="shared" si="0"/>
        <v>6700</v>
      </c>
      <c r="I58" s="330"/>
      <c r="J58" s="331">
        <f>VLOOKUP(B58,'[5]Draft (Universal)'!$A$9:$U$155,21,0)</f>
        <v>5.187865480418671</v>
      </c>
      <c r="K58" s="332">
        <f t="shared" si="2"/>
        <v>34758.69871880509</v>
      </c>
    </row>
    <row r="59" spans="2:11" s="327" customFormat="1" ht="15.75" customHeight="1">
      <c r="B59" s="318" t="s">
        <v>355</v>
      </c>
      <c r="C59" s="326" t="s">
        <v>135</v>
      </c>
      <c r="E59" s="320">
        <f t="shared" si="1"/>
        <v>1560</v>
      </c>
      <c r="F59" s="328">
        <f>VLOOKUP(B59,'[5]Autumn'!$A$568:$C$844,3,0)</f>
        <v>585</v>
      </c>
      <c r="G59" s="328">
        <v>1440</v>
      </c>
      <c r="H59" s="329">
        <f t="shared" si="0"/>
        <v>3585</v>
      </c>
      <c r="I59" s="330"/>
      <c r="J59" s="331">
        <f>VLOOKUP(B59,'[5]Draft (Universal)'!$A$9:$U$155,21,0)</f>
        <v>5.772936158413882</v>
      </c>
      <c r="K59" s="332">
        <f t="shared" si="2"/>
        <v>20695.976127913767</v>
      </c>
    </row>
    <row r="60" spans="2:11" s="327" customFormat="1" ht="15.75" customHeight="1">
      <c r="B60" s="336" t="s">
        <v>356</v>
      </c>
      <c r="C60" s="326" t="s">
        <v>135</v>
      </c>
      <c r="E60" s="320">
        <f t="shared" si="1"/>
        <v>1170</v>
      </c>
      <c r="F60" s="328">
        <f>VLOOKUP(B60,'[5]Autumn'!$A$568:$C$844,3,0)</f>
        <v>585</v>
      </c>
      <c r="G60" s="328">
        <v>1080</v>
      </c>
      <c r="H60" s="329">
        <f t="shared" si="0"/>
        <v>2835</v>
      </c>
      <c r="I60" s="330"/>
      <c r="J60" s="331">
        <f>VLOOKUP(B60,'[5]Draft (Universal)'!$A$9:$U$155,21,0)</f>
        <v>5.324540677681115</v>
      </c>
      <c r="K60" s="332">
        <f t="shared" si="2"/>
        <v>15095.07282122596</v>
      </c>
    </row>
    <row r="61" spans="2:11" s="327" customFormat="1" ht="15.75" customHeight="1">
      <c r="B61" s="334" t="s">
        <v>274</v>
      </c>
      <c r="C61" s="326" t="s">
        <v>135</v>
      </c>
      <c r="E61" s="320">
        <f t="shared" si="1"/>
        <v>1170</v>
      </c>
      <c r="F61" s="328">
        <f>VLOOKUP(B61,'[5]Autumn'!$A$568:$C$844,3,0)</f>
        <v>1040</v>
      </c>
      <c r="G61" s="328">
        <v>1080</v>
      </c>
      <c r="H61" s="329">
        <f t="shared" si="0"/>
        <v>3290</v>
      </c>
      <c r="I61" s="330"/>
      <c r="J61" s="331">
        <f>VLOOKUP(B61,'[5]Draft (Universal)'!$A$9:$U$155,21,0)</f>
        <v>5.715100616135365</v>
      </c>
      <c r="K61" s="332">
        <f t="shared" si="2"/>
        <v>18802.68102708535</v>
      </c>
    </row>
    <row r="62" spans="2:11" s="327" customFormat="1" ht="15">
      <c r="B62" s="325" t="s">
        <v>359</v>
      </c>
      <c r="C62" s="326" t="s">
        <v>135</v>
      </c>
      <c r="E62" s="320">
        <f t="shared" si="1"/>
        <v>195</v>
      </c>
      <c r="F62" s="328">
        <f>VLOOKUP(B62,'[5]Autumn'!$A$568:$C$844,3,0)</f>
        <v>0</v>
      </c>
      <c r="G62" s="328">
        <v>180</v>
      </c>
      <c r="H62" s="329">
        <f t="shared" si="0"/>
        <v>375</v>
      </c>
      <c r="I62" s="330"/>
      <c r="J62" s="331">
        <f>VLOOKUP(B62,'[5]Draft (Universal)'!$A$9:$U$155,21,0)</f>
        <v>5.31603998514001</v>
      </c>
      <c r="K62" s="332">
        <f t="shared" si="2"/>
        <v>1993.514994427504</v>
      </c>
    </row>
    <row r="63" spans="2:11" s="327" customFormat="1" ht="15">
      <c r="B63" s="325" t="s">
        <v>360</v>
      </c>
      <c r="C63" s="326" t="s">
        <v>135</v>
      </c>
      <c r="E63" s="320">
        <f t="shared" si="1"/>
        <v>162.5</v>
      </c>
      <c r="F63" s="328">
        <f>VLOOKUP(B63,'[5]Autumn'!$A$568:$C$844,3,0)</f>
        <v>162.5</v>
      </c>
      <c r="G63" s="328">
        <v>150</v>
      </c>
      <c r="H63" s="329">
        <f t="shared" si="0"/>
        <v>475</v>
      </c>
      <c r="I63" s="330"/>
      <c r="J63" s="331">
        <f>VLOOKUP(B63,'[5]Draft (Universal)'!$A$9:$U$155,21,0)</f>
        <v>5.3311614093717825</v>
      </c>
      <c r="K63" s="332">
        <f t="shared" si="2"/>
        <v>2532.301669451597</v>
      </c>
    </row>
    <row r="64" spans="2:11" s="327" customFormat="1" ht="15">
      <c r="B64" s="325" t="s">
        <v>361</v>
      </c>
      <c r="C64" s="326" t="s">
        <v>135</v>
      </c>
      <c r="E64" s="320">
        <f t="shared" si="1"/>
        <v>2535</v>
      </c>
      <c r="F64" s="328">
        <f>VLOOKUP(B64,'[5]Autumn'!$A$568:$C$844,3,0)</f>
        <v>2145</v>
      </c>
      <c r="G64" s="328">
        <v>2340</v>
      </c>
      <c r="H64" s="329">
        <f t="shared" si="0"/>
        <v>7020</v>
      </c>
      <c r="I64" s="330"/>
      <c r="J64" s="331">
        <f>VLOOKUP(B64,'[5]Draft (Universal)'!$A$9:$U$155,21,0)</f>
        <v>5.311351759789387</v>
      </c>
      <c r="K64" s="332">
        <f t="shared" si="2"/>
        <v>37285.6893537215</v>
      </c>
    </row>
    <row r="65" spans="2:11" s="327" customFormat="1" ht="15">
      <c r="B65" s="334" t="s">
        <v>363</v>
      </c>
      <c r="C65" s="326" t="s">
        <v>135</v>
      </c>
      <c r="E65" s="320">
        <f t="shared" si="1"/>
        <v>3510</v>
      </c>
      <c r="F65" s="328">
        <f>VLOOKUP(B65,'[5]Autumn'!$A$568:$C$844,3,0)</f>
        <v>2930</v>
      </c>
      <c r="G65" s="328">
        <v>3240</v>
      </c>
      <c r="H65" s="329">
        <f t="shared" si="0"/>
        <v>9680</v>
      </c>
      <c r="I65" s="330"/>
      <c r="J65" s="331">
        <f>VLOOKUP(B65,'[5]Draft (Universal)'!$A$9:$U$155,21,0)</f>
        <v>5.192309953081388</v>
      </c>
      <c r="K65" s="332">
        <f t="shared" si="2"/>
        <v>50261.560345827835</v>
      </c>
    </row>
    <row r="66" spans="2:11" s="327" customFormat="1" ht="15">
      <c r="B66" s="334" t="s">
        <v>367</v>
      </c>
      <c r="C66" s="326" t="s">
        <v>135</v>
      </c>
      <c r="E66" s="320">
        <f t="shared" si="1"/>
        <v>156</v>
      </c>
      <c r="F66" s="328">
        <f>VLOOKUP(B66,'[5]Autumn'!$A$568:$C$844,3,0)</f>
        <v>156</v>
      </c>
      <c r="G66" s="328">
        <v>144</v>
      </c>
      <c r="H66" s="329">
        <f t="shared" si="0"/>
        <v>456</v>
      </c>
      <c r="I66" s="330"/>
      <c r="J66" s="331">
        <f>VLOOKUP(B66,'[5]Draft (Universal)'!$A$9:$U$155,21,0)</f>
        <v>5.126792295725821</v>
      </c>
      <c r="K66" s="332">
        <f t="shared" si="2"/>
        <v>2337.817286850974</v>
      </c>
    </row>
    <row r="67" spans="2:11" s="327" customFormat="1" ht="15">
      <c r="B67" s="337" t="s">
        <v>368</v>
      </c>
      <c r="C67" s="326" t="s">
        <v>135</v>
      </c>
      <c r="E67" s="320">
        <f t="shared" si="1"/>
        <v>1950</v>
      </c>
      <c r="F67" s="328">
        <f>VLOOKUP(B67,'[5]Autumn'!$A$568:$C$844,3,0)</f>
        <v>975</v>
      </c>
      <c r="G67" s="328">
        <v>1800</v>
      </c>
      <c r="H67" s="329">
        <f t="shared" si="0"/>
        <v>4725</v>
      </c>
      <c r="I67" s="330"/>
      <c r="J67" s="331">
        <f>VLOOKUP(B67,'[5]Draft (Universal)'!$A$9:$U$155,21,0)</f>
        <v>5.220397905708463</v>
      </c>
      <c r="K67" s="332">
        <f t="shared" si="2"/>
        <v>24666.38010447249</v>
      </c>
    </row>
    <row r="68" spans="2:11" s="327" customFormat="1" ht="15">
      <c r="B68" s="325" t="s">
        <v>370</v>
      </c>
      <c r="C68" s="326" t="s">
        <v>135</v>
      </c>
      <c r="E68" s="320">
        <f t="shared" si="1"/>
        <v>195</v>
      </c>
      <c r="F68" s="328">
        <f>VLOOKUP(B68,'[5]Autumn'!$A$568:$C$844,3,0)</f>
        <v>195</v>
      </c>
      <c r="G68" s="328">
        <v>180</v>
      </c>
      <c r="H68" s="329">
        <f aca="true" t="shared" si="3" ref="H68:H111">SUM(E68:G68)</f>
        <v>570</v>
      </c>
      <c r="I68" s="330"/>
      <c r="J68" s="331">
        <f>VLOOKUP(B68,'[5]Draft (Universal)'!$A$9:$U$155,21,0)</f>
        <v>5.338517777916969</v>
      </c>
      <c r="K68" s="332">
        <f t="shared" si="2"/>
        <v>3042.9551334126722</v>
      </c>
    </row>
    <row r="69" spans="2:11" s="327" customFormat="1" ht="15">
      <c r="B69" s="325" t="s">
        <v>372</v>
      </c>
      <c r="C69" s="326" t="s">
        <v>135</v>
      </c>
      <c r="E69" s="320">
        <f aca="true" t="shared" si="4" ref="E69:E111">G69/12*13</f>
        <v>1027</v>
      </c>
      <c r="F69" s="328">
        <f>VLOOKUP(B69,'[5]Autumn'!$A$568:$C$844,3,0)</f>
        <v>582</v>
      </c>
      <c r="G69" s="328">
        <v>948</v>
      </c>
      <c r="H69" s="329">
        <f t="shared" si="3"/>
        <v>2557</v>
      </c>
      <c r="I69" s="330"/>
      <c r="J69" s="331">
        <f>VLOOKUP(B69,'[5]Draft (Universal)'!$A$9:$U$155,21,0)</f>
        <v>5.125183090106561</v>
      </c>
      <c r="K69" s="332">
        <f aca="true" t="shared" si="5" ref="K69:K111">J69*H69</f>
        <v>13105.093161402478</v>
      </c>
    </row>
    <row r="70" spans="2:11" s="327" customFormat="1" ht="15">
      <c r="B70" s="333" t="s">
        <v>373</v>
      </c>
      <c r="C70" s="326" t="s">
        <v>135</v>
      </c>
      <c r="E70" s="320">
        <f t="shared" si="4"/>
        <v>390</v>
      </c>
      <c r="F70" s="328">
        <f>VLOOKUP(B70,'[5]Autumn'!$A$568:$C$844,3,0)</f>
        <v>375</v>
      </c>
      <c r="G70" s="328">
        <v>360</v>
      </c>
      <c r="H70" s="329">
        <f t="shared" si="3"/>
        <v>1125</v>
      </c>
      <c r="I70" s="330"/>
      <c r="J70" s="331">
        <f>VLOOKUP(B70,'[5]Draft (Universal)'!$A$9:$U$155,21,0)</f>
        <v>5.304494573395481</v>
      </c>
      <c r="K70" s="332">
        <f t="shared" si="5"/>
        <v>5967.556395069916</v>
      </c>
    </row>
    <row r="71" spans="2:11" s="327" customFormat="1" ht="15">
      <c r="B71" s="325" t="s">
        <v>375</v>
      </c>
      <c r="C71" s="326" t="s">
        <v>135</v>
      </c>
      <c r="E71" s="320">
        <f t="shared" si="4"/>
        <v>195</v>
      </c>
      <c r="F71" s="328">
        <f>VLOOKUP(B71,'[5]Autumn'!$A$568:$C$844,3,0)</f>
        <v>0</v>
      </c>
      <c r="G71" s="328">
        <v>180</v>
      </c>
      <c r="H71" s="329">
        <f t="shared" si="3"/>
        <v>375</v>
      </c>
      <c r="I71" s="330"/>
      <c r="J71" s="331">
        <f>VLOOKUP(B71,'[5]Draft (Universal)'!$A$9:$U$155,21,0)</f>
        <v>5.8903398239796285</v>
      </c>
      <c r="K71" s="332">
        <f t="shared" si="5"/>
        <v>2208.8774339923607</v>
      </c>
    </row>
    <row r="72" spans="2:11" s="327" customFormat="1" ht="15">
      <c r="B72" s="325" t="s">
        <v>376</v>
      </c>
      <c r="C72" s="326" t="s">
        <v>135</v>
      </c>
      <c r="E72" s="320">
        <f t="shared" si="4"/>
        <v>2917.9583333333335</v>
      </c>
      <c r="F72" s="328">
        <f>VLOOKUP(B72,'[5]Autumn'!$A$568:$C$844,3,0)</f>
        <v>2815</v>
      </c>
      <c r="G72" s="328">
        <v>2693.5</v>
      </c>
      <c r="H72" s="329">
        <f t="shared" si="3"/>
        <v>8426.458333333334</v>
      </c>
      <c r="I72" s="330"/>
      <c r="J72" s="331">
        <f>VLOOKUP(B72,'[5]Draft (Universal)'!$A$9:$U$155,21,0)</f>
        <v>5.18165854445867</v>
      </c>
      <c r="K72" s="332">
        <f t="shared" si="5"/>
        <v>43663.02982244163</v>
      </c>
    </row>
    <row r="73" spans="2:11" s="327" customFormat="1" ht="15">
      <c r="B73" s="333" t="s">
        <v>377</v>
      </c>
      <c r="C73" s="326" t="s">
        <v>135</v>
      </c>
      <c r="E73" s="320">
        <f t="shared" si="4"/>
        <v>195</v>
      </c>
      <c r="F73" s="328">
        <f>VLOOKUP(B73,'[5]Autumn'!$A$568:$C$844,3,0)</f>
        <v>195</v>
      </c>
      <c r="G73" s="328">
        <v>180</v>
      </c>
      <c r="H73" s="329">
        <f t="shared" si="3"/>
        <v>570</v>
      </c>
      <c r="I73" s="330"/>
      <c r="J73" s="331">
        <f>VLOOKUP(B73,'[5]Draft (Universal)'!$A$9:$U$155,21,0)</f>
        <v>5.746890637348492</v>
      </c>
      <c r="K73" s="332">
        <f t="shared" si="5"/>
        <v>3275.7276632886405</v>
      </c>
    </row>
    <row r="74" spans="2:11" s="327" customFormat="1" ht="15">
      <c r="B74" s="325" t="s">
        <v>379</v>
      </c>
      <c r="C74" s="326" t="s">
        <v>135</v>
      </c>
      <c r="E74" s="320">
        <f t="shared" si="4"/>
        <v>1365</v>
      </c>
      <c r="F74" s="328">
        <f>VLOOKUP(B74,'[5]Autumn'!$A$568:$C$844,3,0)</f>
        <v>1170</v>
      </c>
      <c r="G74" s="328">
        <v>1260</v>
      </c>
      <c r="H74" s="329">
        <f t="shared" si="3"/>
        <v>3795</v>
      </c>
      <c r="I74" s="330"/>
      <c r="J74" s="331">
        <f>VLOOKUP(B74,'[5]Draft (Universal)'!$A$9:$U$155,21,0)</f>
        <v>5.242884986829544</v>
      </c>
      <c r="K74" s="332">
        <f t="shared" si="5"/>
        <v>19896.74852501812</v>
      </c>
    </row>
    <row r="75" spans="2:11" s="327" customFormat="1" ht="15">
      <c r="B75" s="325" t="s">
        <v>380</v>
      </c>
      <c r="C75" s="326" t="s">
        <v>135</v>
      </c>
      <c r="E75" s="320">
        <f t="shared" si="4"/>
        <v>390</v>
      </c>
      <c r="F75" s="328">
        <f>VLOOKUP(B75,'[5]Autumn'!$A$568:$C$844,3,0)</f>
        <v>195</v>
      </c>
      <c r="G75" s="328">
        <v>360</v>
      </c>
      <c r="H75" s="329">
        <f t="shared" si="3"/>
        <v>945</v>
      </c>
      <c r="I75" s="330"/>
      <c r="J75" s="331">
        <f>VLOOKUP(B75,'[5]Draft (Universal)'!$A$9:$U$155,21,0)</f>
        <v>5.768959742984052</v>
      </c>
      <c r="K75" s="332">
        <f t="shared" si="5"/>
        <v>5451.666957119929</v>
      </c>
    </row>
    <row r="76" spans="2:11" s="327" customFormat="1" ht="15">
      <c r="B76" s="325" t="s">
        <v>378</v>
      </c>
      <c r="C76" s="326" t="s">
        <v>135</v>
      </c>
      <c r="E76" s="320">
        <f t="shared" si="4"/>
        <v>585</v>
      </c>
      <c r="F76" s="328">
        <f>VLOOKUP(B76,'[5]Autumn'!$A$568:$C$844,3,0)</f>
        <v>195</v>
      </c>
      <c r="G76" s="328">
        <v>540</v>
      </c>
      <c r="H76" s="329">
        <f t="shared" si="3"/>
        <v>1320</v>
      </c>
      <c r="I76" s="330"/>
      <c r="J76" s="331">
        <f>VLOOKUP(B76,'[5]Draft (Universal)'!$A$9:$U$155,21,0)</f>
        <v>4.915526586568746</v>
      </c>
      <c r="K76" s="332">
        <f t="shared" si="5"/>
        <v>6488.4950942707455</v>
      </c>
    </row>
    <row r="77" spans="2:11" s="327" customFormat="1" ht="15">
      <c r="B77" s="325" t="s">
        <v>381</v>
      </c>
      <c r="C77" s="326" t="s">
        <v>135</v>
      </c>
      <c r="E77" s="320">
        <f t="shared" si="4"/>
        <v>1287</v>
      </c>
      <c r="F77" s="328">
        <f>VLOOKUP(B77,'[5]Autumn'!$A$568:$C$844,3,0)</f>
        <v>645</v>
      </c>
      <c r="G77" s="328">
        <v>1188</v>
      </c>
      <c r="H77" s="329">
        <f t="shared" si="3"/>
        <v>3120</v>
      </c>
      <c r="I77" s="330"/>
      <c r="J77" s="331">
        <f>VLOOKUP(B77,'[5]Draft (Universal)'!$A$9:$U$155,21,0)</f>
        <v>5.190524951890276</v>
      </c>
      <c r="K77" s="332">
        <f t="shared" si="5"/>
        <v>16194.43784989766</v>
      </c>
    </row>
    <row r="78" spans="2:11" s="327" customFormat="1" ht="15">
      <c r="B78" s="325" t="s">
        <v>382</v>
      </c>
      <c r="C78" s="326" t="s">
        <v>135</v>
      </c>
      <c r="E78" s="320">
        <f t="shared" si="4"/>
        <v>8474.916666666666</v>
      </c>
      <c r="F78" s="328">
        <f>VLOOKUP(B78,'[5]Autumn'!$A$568:$C$844,3,0)</f>
        <v>12494</v>
      </c>
      <c r="G78" s="328">
        <v>7823</v>
      </c>
      <c r="H78" s="329">
        <f t="shared" si="3"/>
        <v>28791.916666666664</v>
      </c>
      <c r="I78" s="330"/>
      <c r="J78" s="331">
        <f>VLOOKUP(B78,'[5]Draft (Universal)'!$A$9:$U$155,21,0)</f>
        <v>5.175924306879082</v>
      </c>
      <c r="K78" s="332">
        <f t="shared" si="5"/>
        <v>149024.78131663695</v>
      </c>
    </row>
    <row r="79" spans="2:11" s="327" customFormat="1" ht="15">
      <c r="B79" s="333" t="s">
        <v>385</v>
      </c>
      <c r="C79" s="326" t="s">
        <v>135</v>
      </c>
      <c r="E79" s="320">
        <f t="shared" si="4"/>
        <v>3688.75</v>
      </c>
      <c r="F79" s="328">
        <f>VLOOKUP(B79,'[5]Autumn'!$A$568:$C$844,3,0)</f>
        <v>2535</v>
      </c>
      <c r="G79" s="328">
        <v>3405</v>
      </c>
      <c r="H79" s="329">
        <f t="shared" si="3"/>
        <v>9628.75</v>
      </c>
      <c r="I79" s="330"/>
      <c r="J79" s="331">
        <f>VLOOKUP(B79,'[5]Draft (Universal)'!$A$9:$U$155,21,0)</f>
        <v>5.1564476564236035</v>
      </c>
      <c r="K79" s="332">
        <f t="shared" si="5"/>
        <v>49650.14537178877</v>
      </c>
    </row>
    <row r="80" spans="2:11" s="327" customFormat="1" ht="15">
      <c r="B80" s="325" t="s">
        <v>388</v>
      </c>
      <c r="C80" s="326" t="s">
        <v>135</v>
      </c>
      <c r="E80" s="320">
        <f t="shared" si="4"/>
        <v>2145</v>
      </c>
      <c r="F80" s="328">
        <f>VLOOKUP(B80,'[5]Autumn'!$A$568:$C$844,3,0)</f>
        <v>390</v>
      </c>
      <c r="G80" s="328">
        <v>1980</v>
      </c>
      <c r="H80" s="329">
        <f t="shared" si="3"/>
        <v>4515</v>
      </c>
      <c r="I80" s="330"/>
      <c r="J80" s="331">
        <f>VLOOKUP(B80,'[5]Draft (Universal)'!$A$9:$U$155,21,0)</f>
        <v>5.694016738429964</v>
      </c>
      <c r="K80" s="332">
        <f t="shared" si="5"/>
        <v>25708.485574011287</v>
      </c>
    </row>
    <row r="81" spans="2:11" s="327" customFormat="1" ht="15">
      <c r="B81" s="325" t="s">
        <v>387</v>
      </c>
      <c r="C81" s="326" t="s">
        <v>135</v>
      </c>
      <c r="E81" s="320">
        <f t="shared" si="4"/>
        <v>2925</v>
      </c>
      <c r="F81" s="328">
        <f>VLOOKUP(B81,'[5]Autumn'!$A$568:$C$844,3,0)</f>
        <v>1170</v>
      </c>
      <c r="G81" s="328">
        <v>2700</v>
      </c>
      <c r="H81" s="329">
        <f t="shared" si="3"/>
        <v>6795</v>
      </c>
      <c r="I81" s="330"/>
      <c r="J81" s="331">
        <f>VLOOKUP(B81,'[5]Draft (Universal)'!$A$9:$U$155,21,0)</f>
        <v>5.7079018840590035</v>
      </c>
      <c r="K81" s="332">
        <f t="shared" si="5"/>
        <v>38785.19330218093</v>
      </c>
    </row>
    <row r="82" spans="2:11" s="327" customFormat="1" ht="15">
      <c r="B82" s="336" t="s">
        <v>390</v>
      </c>
      <c r="C82" s="326" t="s">
        <v>135</v>
      </c>
      <c r="E82" s="320">
        <f t="shared" si="4"/>
        <v>195</v>
      </c>
      <c r="F82" s="328">
        <f>VLOOKUP(B82,'[5]Autumn'!$A$568:$C$844,3,0)</f>
        <v>0</v>
      </c>
      <c r="G82" s="328">
        <v>180</v>
      </c>
      <c r="H82" s="329">
        <f t="shared" si="3"/>
        <v>375</v>
      </c>
      <c r="I82" s="330"/>
      <c r="J82" s="331">
        <f>VLOOKUP(B82,'[5]Draft (Universal)'!$A$9:$U$155,21,0)</f>
        <v>5.052538950722845</v>
      </c>
      <c r="K82" s="332">
        <f t="shared" si="5"/>
        <v>1894.7021065210668</v>
      </c>
    </row>
    <row r="83" spans="2:11" s="327" customFormat="1" ht="15">
      <c r="B83" s="325" t="s">
        <v>391</v>
      </c>
      <c r="C83" s="326" t="s">
        <v>135</v>
      </c>
      <c r="E83" s="320">
        <f t="shared" si="4"/>
        <v>3900</v>
      </c>
      <c r="F83" s="328">
        <f>VLOOKUP(B83,'[5]Autumn'!$A$568:$C$844,3,0)</f>
        <v>2340</v>
      </c>
      <c r="G83" s="328">
        <v>3600</v>
      </c>
      <c r="H83" s="329">
        <f t="shared" si="3"/>
        <v>9840</v>
      </c>
      <c r="I83" s="330"/>
      <c r="J83" s="331">
        <f>VLOOKUP(B83,'[5]Draft (Universal)'!$A$9:$U$155,21,0)</f>
        <v>5.163628873336762</v>
      </c>
      <c r="K83" s="332">
        <f t="shared" si="5"/>
        <v>50810.10811363374</v>
      </c>
    </row>
    <row r="84" spans="2:11" s="327" customFormat="1" ht="15">
      <c r="B84" s="333" t="s">
        <v>392</v>
      </c>
      <c r="C84" s="326" t="s">
        <v>135</v>
      </c>
      <c r="E84" s="320">
        <f t="shared" si="4"/>
        <v>780</v>
      </c>
      <c r="F84" s="328">
        <v>0</v>
      </c>
      <c r="G84" s="328">
        <v>720</v>
      </c>
      <c r="H84" s="329">
        <f t="shared" si="3"/>
        <v>1500</v>
      </c>
      <c r="I84" s="330"/>
      <c r="J84" s="331">
        <f>VLOOKUP(B84,'[5]Draft (Universal)'!$A$9:$U$155,21,0)</f>
        <v>5.356448926245861</v>
      </c>
      <c r="K84" s="332">
        <f t="shared" si="5"/>
        <v>8034.6733893687915</v>
      </c>
    </row>
    <row r="85" spans="2:11" s="327" customFormat="1" ht="15">
      <c r="B85" s="325" t="s">
        <v>394</v>
      </c>
      <c r="C85" s="326" t="s">
        <v>135</v>
      </c>
      <c r="E85" s="320">
        <f t="shared" si="4"/>
        <v>1673.75</v>
      </c>
      <c r="F85" s="328">
        <f>VLOOKUP(B85,'[5]Autumn'!$A$568:$C$844,3,0)</f>
        <v>1365</v>
      </c>
      <c r="G85" s="328">
        <v>1545</v>
      </c>
      <c r="H85" s="329">
        <f t="shared" si="3"/>
        <v>4583.75</v>
      </c>
      <c r="I85" s="330"/>
      <c r="J85" s="331">
        <f>VLOOKUP(B85,'[5]Draft (Universal)'!$A$9:$U$155,21,0)</f>
        <v>5.353434858578042</v>
      </c>
      <c r="K85" s="332">
        <f t="shared" si="5"/>
        <v>24538.8070330071</v>
      </c>
    </row>
    <row r="86" spans="2:11" s="327" customFormat="1" ht="15">
      <c r="B86" s="335" t="s">
        <v>396</v>
      </c>
      <c r="C86" s="326" t="s">
        <v>135</v>
      </c>
      <c r="E86" s="320">
        <f t="shared" si="4"/>
        <v>6240</v>
      </c>
      <c r="F86" s="328">
        <f>VLOOKUP(B86,'[5]Autumn'!$A$568:$C$844,3,0)</f>
        <v>5590</v>
      </c>
      <c r="G86" s="328">
        <v>5760</v>
      </c>
      <c r="H86" s="329">
        <f t="shared" si="3"/>
        <v>17590</v>
      </c>
      <c r="I86" s="330"/>
      <c r="J86" s="331">
        <f>VLOOKUP(B86,'[5]Draft (Universal)'!$A$9:$U$155,21,0)</f>
        <v>5.091975332098337</v>
      </c>
      <c r="K86" s="332">
        <f t="shared" si="5"/>
        <v>89567.84609160975</v>
      </c>
    </row>
    <row r="87" spans="2:11" s="327" customFormat="1" ht="15">
      <c r="B87" s="325" t="s">
        <v>399</v>
      </c>
      <c r="C87" s="326" t="s">
        <v>135</v>
      </c>
      <c r="E87" s="320">
        <f t="shared" si="4"/>
        <v>1170</v>
      </c>
      <c r="F87" s="328">
        <f>VLOOKUP(B87,'[5]Autumn'!$A$568:$C$844,3,0)</f>
        <v>1005</v>
      </c>
      <c r="G87" s="328">
        <v>1080</v>
      </c>
      <c r="H87" s="329">
        <f t="shared" si="3"/>
        <v>3255</v>
      </c>
      <c r="I87" s="330"/>
      <c r="J87" s="331">
        <f>VLOOKUP(B87,'[5]Draft (Universal)'!$A$9:$U$155,21,0)</f>
        <v>5.150317349302615</v>
      </c>
      <c r="K87" s="332">
        <f t="shared" si="5"/>
        <v>16764.28297198001</v>
      </c>
    </row>
    <row r="88" spans="2:11" s="327" customFormat="1" ht="15">
      <c r="B88" s="325" t="s">
        <v>400</v>
      </c>
      <c r="C88" s="326" t="s">
        <v>135</v>
      </c>
      <c r="E88" s="320">
        <f t="shared" si="4"/>
        <v>1170</v>
      </c>
      <c r="F88" s="328">
        <f>VLOOKUP(B88,'[5]Autumn'!$A$568:$C$844,3,0)</f>
        <v>1369</v>
      </c>
      <c r="G88" s="328">
        <v>1080</v>
      </c>
      <c r="H88" s="329">
        <f t="shared" si="3"/>
        <v>3619</v>
      </c>
      <c r="I88" s="330"/>
      <c r="J88" s="331">
        <f>VLOOKUP(B88,'[5]Draft (Universal)'!$A$9:$U$155,21,0)</f>
        <v>5.268517333479179</v>
      </c>
      <c r="K88" s="332">
        <f t="shared" si="5"/>
        <v>19066.764229861146</v>
      </c>
    </row>
    <row r="89" spans="2:11" s="327" customFormat="1" ht="15">
      <c r="B89" s="333" t="s">
        <v>402</v>
      </c>
      <c r="C89" s="326" t="s">
        <v>135</v>
      </c>
      <c r="E89" s="320">
        <f t="shared" si="4"/>
        <v>1170</v>
      </c>
      <c r="F89" s="328">
        <f>VLOOKUP(B89,'[5]Autumn'!$A$568:$C$844,3,0)</f>
        <v>975</v>
      </c>
      <c r="G89" s="328">
        <v>1080</v>
      </c>
      <c r="H89" s="329">
        <f t="shared" si="3"/>
        <v>3225</v>
      </c>
      <c r="I89" s="330"/>
      <c r="J89" s="331">
        <f>VLOOKUP(B89,'[5]Draft (Universal)'!$A$9:$U$155,21,0)</f>
        <v>5.373767043862654</v>
      </c>
      <c r="K89" s="332">
        <f t="shared" si="5"/>
        <v>17330.398716457057</v>
      </c>
    </row>
    <row r="90" spans="2:11" s="327" customFormat="1" ht="15">
      <c r="B90" s="334" t="s">
        <v>404</v>
      </c>
      <c r="C90" s="326" t="s">
        <v>135</v>
      </c>
      <c r="E90" s="320">
        <f t="shared" si="4"/>
        <v>780</v>
      </c>
      <c r="F90" s="328">
        <f>VLOOKUP(B90,'[5]Autumn'!$A$568:$C$844,3,0)</f>
        <v>840</v>
      </c>
      <c r="G90" s="328">
        <v>720</v>
      </c>
      <c r="H90" s="329">
        <f t="shared" si="3"/>
        <v>2340</v>
      </c>
      <c r="I90" s="330"/>
      <c r="J90" s="331">
        <f>VLOOKUP(B90,'[5]Draft (Universal)'!$A$9:$U$155,21,0)</f>
        <v>5.201147812514146</v>
      </c>
      <c r="K90" s="332">
        <f t="shared" si="5"/>
        <v>12170.685881283103</v>
      </c>
    </row>
    <row r="91" spans="2:11" s="327" customFormat="1" ht="15">
      <c r="B91" s="333" t="s">
        <v>405</v>
      </c>
      <c r="C91" s="326" t="s">
        <v>135</v>
      </c>
      <c r="E91" s="320">
        <f t="shared" si="4"/>
        <v>1755</v>
      </c>
      <c r="F91" s="328">
        <f>VLOOKUP(B91,'[5]Autumn'!$A$568:$C$844,3,0)</f>
        <v>390</v>
      </c>
      <c r="G91" s="328">
        <v>1620</v>
      </c>
      <c r="H91" s="329">
        <f t="shared" si="3"/>
        <v>3765</v>
      </c>
      <c r="I91" s="330"/>
      <c r="J91" s="331">
        <f>VLOOKUP(B91,'[5]Draft (Universal)'!$A$9:$U$155,21,0)</f>
        <v>5.688368098297053</v>
      </c>
      <c r="K91" s="332">
        <f t="shared" si="5"/>
        <v>21416.705890088404</v>
      </c>
    </row>
    <row r="92" spans="2:11" s="327" customFormat="1" ht="15">
      <c r="B92" s="333" t="s">
        <v>406</v>
      </c>
      <c r="C92" s="326" t="s">
        <v>135</v>
      </c>
      <c r="E92" s="320">
        <f t="shared" si="4"/>
        <v>1525.3333333333333</v>
      </c>
      <c r="F92" s="328">
        <f>VLOOKUP(B92,'[5]Autumn'!$A$568:$C$844,3,0)</f>
        <v>1056</v>
      </c>
      <c r="G92" s="328">
        <v>1408</v>
      </c>
      <c r="H92" s="329">
        <f t="shared" si="3"/>
        <v>3989.333333333333</v>
      </c>
      <c r="I92" s="330"/>
      <c r="J92" s="331">
        <f>VLOOKUP(B92,'[5]Draft (Universal)'!$A$9:$U$155,21,0)</f>
        <v>5.327138395323633</v>
      </c>
      <c r="K92" s="332">
        <f t="shared" si="5"/>
        <v>21251.730771744413</v>
      </c>
    </row>
    <row r="93" spans="2:11" s="327" customFormat="1" ht="15">
      <c r="B93" s="333" t="s">
        <v>409</v>
      </c>
      <c r="C93" s="326" t="s">
        <v>135</v>
      </c>
      <c r="E93" s="320">
        <f t="shared" si="4"/>
        <v>2340</v>
      </c>
      <c r="F93" s="328">
        <f>VLOOKUP(B93,'[5]Autumn'!$A$568:$C$844,3,0)</f>
        <v>1365</v>
      </c>
      <c r="G93" s="328">
        <v>2160</v>
      </c>
      <c r="H93" s="329">
        <f t="shared" si="3"/>
        <v>5865</v>
      </c>
      <c r="I93" s="330"/>
      <c r="J93" s="331">
        <f>VLOOKUP(B93,'[5]Draft (Universal)'!$A$9:$U$155,21,0)</f>
        <v>5.168472489622466</v>
      </c>
      <c r="K93" s="332">
        <f t="shared" si="5"/>
        <v>30313.09115163576</v>
      </c>
    </row>
    <row r="94" spans="2:11" s="327" customFormat="1" ht="15">
      <c r="B94" s="325" t="s">
        <v>411</v>
      </c>
      <c r="C94" s="326" t="s">
        <v>135</v>
      </c>
      <c r="E94" s="320">
        <f t="shared" si="4"/>
        <v>975</v>
      </c>
      <c r="F94" s="328">
        <f>VLOOKUP(B94,'[5]Autumn'!$A$568:$C$844,3,0)</f>
        <v>390</v>
      </c>
      <c r="G94" s="328">
        <v>900</v>
      </c>
      <c r="H94" s="329">
        <f t="shared" si="3"/>
        <v>2265</v>
      </c>
      <c r="I94" s="330"/>
      <c r="J94" s="331">
        <f>VLOOKUP(B94,'[5]Draft (Universal)'!$A$9:$U$155,21,0)</f>
        <v>5.097996510700437</v>
      </c>
      <c r="K94" s="332">
        <f t="shared" si="5"/>
        <v>11546.96209673649</v>
      </c>
    </row>
    <row r="95" spans="2:11" s="327" customFormat="1" ht="15">
      <c r="B95" s="325" t="s">
        <v>410</v>
      </c>
      <c r="C95" s="326" t="s">
        <v>135</v>
      </c>
      <c r="E95" s="320">
        <f t="shared" si="4"/>
        <v>1755</v>
      </c>
      <c r="F95" s="328">
        <f>VLOOKUP(B95,'[5]Autumn'!$A$568:$C$844,3,0)</f>
        <v>780</v>
      </c>
      <c r="G95" s="328">
        <v>1620</v>
      </c>
      <c r="H95" s="329">
        <f t="shared" si="3"/>
        <v>4155</v>
      </c>
      <c r="I95" s="330"/>
      <c r="J95" s="331">
        <f>VLOOKUP(B95,'[5]Draft (Universal)'!$A$9:$U$155,21,0)</f>
        <v>5.701857732605661</v>
      </c>
      <c r="K95" s="332">
        <f t="shared" si="5"/>
        <v>23691.21887897652</v>
      </c>
    </row>
    <row r="96" spans="2:11" s="327" customFormat="1" ht="15">
      <c r="B96" s="325" t="s">
        <v>412</v>
      </c>
      <c r="C96" s="326" t="s">
        <v>135</v>
      </c>
      <c r="E96" s="320">
        <f t="shared" si="4"/>
        <v>4043</v>
      </c>
      <c r="F96" s="328">
        <f>VLOOKUP(B96,'[5]Autumn'!$A$568:$C$844,3,0)</f>
        <v>2990</v>
      </c>
      <c r="G96" s="328">
        <v>3732</v>
      </c>
      <c r="H96" s="329">
        <f t="shared" si="3"/>
        <v>10765</v>
      </c>
      <c r="I96" s="330"/>
      <c r="J96" s="331">
        <f>VLOOKUP(B96,'[5]Draft (Universal)'!$A$9:$U$155,21,0)</f>
        <v>5.118301325983644</v>
      </c>
      <c r="K96" s="332">
        <f t="shared" si="5"/>
        <v>55098.513774213934</v>
      </c>
    </row>
    <row r="97" spans="2:11" s="327" customFormat="1" ht="15">
      <c r="B97" s="334" t="s">
        <v>413</v>
      </c>
      <c r="C97" s="326" t="s">
        <v>135</v>
      </c>
      <c r="E97" s="320">
        <f t="shared" si="4"/>
        <v>2084.3333333333335</v>
      </c>
      <c r="F97" s="328">
        <f>VLOOKUP(B97,'[5]Autumn'!$A$568:$C$844,3,0)</f>
        <v>2077</v>
      </c>
      <c r="G97" s="328">
        <v>1924</v>
      </c>
      <c r="H97" s="329">
        <f t="shared" si="3"/>
        <v>6085.333333333334</v>
      </c>
      <c r="I97" s="330"/>
      <c r="J97" s="331">
        <f>VLOOKUP(B97,'[5]Draft (Universal)'!$A$9:$U$155,21,0)</f>
        <v>5.103967848677139</v>
      </c>
      <c r="K97" s="332">
        <f t="shared" si="5"/>
        <v>31059.34568181662</v>
      </c>
    </row>
    <row r="98" spans="2:11" s="327" customFormat="1" ht="15">
      <c r="B98" s="325" t="s">
        <v>270</v>
      </c>
      <c r="C98" s="326" t="s">
        <v>135</v>
      </c>
      <c r="E98" s="320">
        <f t="shared" si="4"/>
        <v>585</v>
      </c>
      <c r="F98" s="328">
        <f>VLOOKUP(B98,'[5]Autumn'!$A$568:$C$844,3,0)</f>
        <v>585</v>
      </c>
      <c r="G98" s="328">
        <v>540</v>
      </c>
      <c r="H98" s="329">
        <f t="shared" si="3"/>
        <v>1710</v>
      </c>
      <c r="I98" s="330"/>
      <c r="J98" s="331">
        <f>VLOOKUP(B98,'[5]Draft (Universal)'!$A$9:$U$155,21,0)</f>
        <v>5.122730967258166</v>
      </c>
      <c r="K98" s="332">
        <f t="shared" si="5"/>
        <v>8759.869954011463</v>
      </c>
    </row>
    <row r="99" spans="2:11" s="327" customFormat="1" ht="15">
      <c r="B99" s="334" t="s">
        <v>285</v>
      </c>
      <c r="C99" s="326" t="s">
        <v>135</v>
      </c>
      <c r="E99" s="320">
        <f t="shared" si="4"/>
        <v>487.5</v>
      </c>
      <c r="F99" s="328">
        <v>0</v>
      </c>
      <c r="G99" s="328">
        <v>450</v>
      </c>
      <c r="H99" s="329">
        <f t="shared" si="3"/>
        <v>937.5</v>
      </c>
      <c r="I99" s="330"/>
      <c r="J99" s="331">
        <f>VLOOKUP(B99,'[5]Draft (Universal)'!$A$9:$U$155,21,0)</f>
        <v>5.17483857778657</v>
      </c>
      <c r="K99" s="332">
        <f t="shared" si="5"/>
        <v>4851.4111666749095</v>
      </c>
    </row>
    <row r="100" spans="2:11" s="327" customFormat="1" ht="15">
      <c r="B100" s="325" t="s">
        <v>309</v>
      </c>
      <c r="C100" s="326" t="s">
        <v>135</v>
      </c>
      <c r="E100" s="320">
        <f t="shared" si="4"/>
        <v>195</v>
      </c>
      <c r="F100" s="328">
        <f>VLOOKUP(B100,'[5]Autumn'!$A$568:$C$844,3,0)</f>
        <v>0</v>
      </c>
      <c r="G100" s="328">
        <v>180</v>
      </c>
      <c r="H100" s="329">
        <f t="shared" si="3"/>
        <v>375</v>
      </c>
      <c r="I100" s="330"/>
      <c r="J100" s="331">
        <f>VLOOKUP(B100,'[5]Draft (Universal)'!$A$9:$U$155,21,0)</f>
        <v>5.849879796981103</v>
      </c>
      <c r="K100" s="332">
        <f t="shared" si="5"/>
        <v>2193.7049238679137</v>
      </c>
    </row>
    <row r="101" spans="2:11" s="327" customFormat="1" ht="15">
      <c r="B101" s="335" t="s">
        <v>315</v>
      </c>
      <c r="C101" s="326" t="s">
        <v>135</v>
      </c>
      <c r="E101" s="320">
        <f t="shared" si="4"/>
        <v>39</v>
      </c>
      <c r="F101" s="328">
        <f>VLOOKUP(B101,'[5]Autumn'!$A$568:$C$844,3,0)</f>
        <v>0</v>
      </c>
      <c r="G101" s="328">
        <v>36</v>
      </c>
      <c r="H101" s="329">
        <f t="shared" si="3"/>
        <v>75</v>
      </c>
      <c r="I101" s="330"/>
      <c r="J101" s="331">
        <f>VLOOKUP(B101,'[5]Draft (Universal)'!$A$9:$U$155,21,0)</f>
        <v>5.27231046101029</v>
      </c>
      <c r="K101" s="332">
        <f t="shared" si="5"/>
        <v>395.4232845757718</v>
      </c>
    </row>
    <row r="102" spans="2:11" s="327" customFormat="1" ht="15">
      <c r="B102" s="334" t="s">
        <v>318</v>
      </c>
      <c r="C102" s="326" t="s">
        <v>135</v>
      </c>
      <c r="E102" s="320">
        <f t="shared" si="4"/>
        <v>195</v>
      </c>
      <c r="F102" s="328">
        <f>VLOOKUP(B102,'[5]Autumn'!$A$568:$C$844,3,0)</f>
        <v>0</v>
      </c>
      <c r="G102" s="328">
        <v>180</v>
      </c>
      <c r="H102" s="329">
        <f t="shared" si="3"/>
        <v>375</v>
      </c>
      <c r="I102" s="330"/>
      <c r="J102" s="331">
        <f>VLOOKUP(B102,'[5]Draft (Universal)'!$A$9:$U$155,21,0)</f>
        <v>5.296218658782147</v>
      </c>
      <c r="K102" s="332">
        <f t="shared" si="5"/>
        <v>1986.081997043305</v>
      </c>
    </row>
    <row r="103" spans="2:11" s="327" customFormat="1" ht="15">
      <c r="B103" s="325" t="s">
        <v>346</v>
      </c>
      <c r="C103" s="326" t="s">
        <v>135</v>
      </c>
      <c r="E103" s="320">
        <f t="shared" si="4"/>
        <v>520</v>
      </c>
      <c r="F103" s="328">
        <f>VLOOKUP(B103,'[5]Autumn'!$A$568:$C$844,3,0)</f>
        <v>130</v>
      </c>
      <c r="G103" s="328">
        <v>480</v>
      </c>
      <c r="H103" s="329">
        <f t="shared" si="3"/>
        <v>1130</v>
      </c>
      <c r="I103" s="330"/>
      <c r="J103" s="331">
        <f>VLOOKUP(B103,'[5]Draft (Universal)'!$A$9:$U$155,21,0)</f>
        <v>5.346487177174255</v>
      </c>
      <c r="K103" s="332">
        <f t="shared" si="5"/>
        <v>6041.530510206908</v>
      </c>
    </row>
    <row r="104" spans="2:11" s="327" customFormat="1" ht="15">
      <c r="B104" s="325" t="s">
        <v>348</v>
      </c>
      <c r="C104" s="326" t="s">
        <v>135</v>
      </c>
      <c r="E104" s="320">
        <f t="shared" si="4"/>
        <v>780</v>
      </c>
      <c r="F104" s="328">
        <f>VLOOKUP(B104,'[5]Autumn'!$A$568:$C$844,3,0)</f>
        <v>0</v>
      </c>
      <c r="G104" s="328">
        <v>720</v>
      </c>
      <c r="H104" s="329">
        <f t="shared" si="3"/>
        <v>1500</v>
      </c>
      <c r="I104" s="330"/>
      <c r="J104" s="331">
        <f>VLOOKUP(B104,'[5]Draft (Universal)'!$A$9:$U$155,21,0)</f>
        <v>5.164417055680889</v>
      </c>
      <c r="K104" s="332">
        <f t="shared" si="5"/>
        <v>7746.625583521333</v>
      </c>
    </row>
    <row r="105" spans="2:11" ht="15">
      <c r="B105" s="318" t="s">
        <v>364</v>
      </c>
      <c r="C105" s="319" t="s">
        <v>135</v>
      </c>
      <c r="E105" s="320">
        <f t="shared" si="4"/>
        <v>292.5</v>
      </c>
      <c r="F105" s="320">
        <f>VLOOKUP(B105,'[5]Autumn'!$A$568:$C$844,3,0)</f>
        <v>0</v>
      </c>
      <c r="G105" s="321">
        <v>270</v>
      </c>
      <c r="H105" s="322">
        <f t="shared" si="3"/>
        <v>562.5</v>
      </c>
      <c r="J105" s="323">
        <f>VLOOKUP(B105,'[5]Draft (Universal)'!$A$9:$U$155,21,0)</f>
        <v>5.735856084530712</v>
      </c>
      <c r="K105" s="324">
        <f t="shared" si="5"/>
        <v>3226.4190475485257</v>
      </c>
    </row>
    <row r="106" spans="2:11" ht="15">
      <c r="B106" s="318" t="s">
        <v>389</v>
      </c>
      <c r="C106" s="319" t="s">
        <v>135</v>
      </c>
      <c r="E106" s="320">
        <f t="shared" si="4"/>
        <v>195</v>
      </c>
      <c r="F106" s="320">
        <v>0</v>
      </c>
      <c r="G106" s="321">
        <v>180</v>
      </c>
      <c r="H106" s="322">
        <f t="shared" si="3"/>
        <v>375</v>
      </c>
      <c r="J106" s="323">
        <f>VLOOKUP(B106,'[5]Draft (Universal)'!$A$9:$U$155,21,0)</f>
        <v>5.1564476564236035</v>
      </c>
      <c r="K106" s="324">
        <f t="shared" si="5"/>
        <v>1933.6678711588513</v>
      </c>
    </row>
    <row r="107" spans="2:11" ht="15">
      <c r="B107" s="318" t="s">
        <v>398</v>
      </c>
      <c r="C107" s="319" t="s">
        <v>135</v>
      </c>
      <c r="E107" s="320">
        <f t="shared" si="4"/>
        <v>455</v>
      </c>
      <c r="F107" s="320">
        <f>VLOOKUP(B107,'[5]Autumn'!$A$568:$C$844,3,0)</f>
        <v>0</v>
      </c>
      <c r="G107" s="321">
        <v>420</v>
      </c>
      <c r="H107" s="322">
        <f t="shared" si="3"/>
        <v>875</v>
      </c>
      <c r="J107" s="323">
        <f>VLOOKUP(B107,'[5]Draft (Universal)'!$A$9:$U$155,21,0)</f>
        <v>5.079205786699146</v>
      </c>
      <c r="K107" s="324">
        <f t="shared" si="5"/>
        <v>4444.305063361752</v>
      </c>
    </row>
    <row r="108" spans="2:11" ht="15">
      <c r="B108" s="336" t="s">
        <v>401</v>
      </c>
      <c r="C108" s="319" t="s">
        <v>135</v>
      </c>
      <c r="E108" s="320">
        <f t="shared" si="4"/>
        <v>1755</v>
      </c>
      <c r="F108" s="320">
        <f>VLOOKUP(B108,'[5]Autumn'!$A$568:$C$844,3,0)</f>
        <v>1755</v>
      </c>
      <c r="G108" s="321">
        <v>1620</v>
      </c>
      <c r="H108" s="322">
        <f t="shared" si="3"/>
        <v>5130</v>
      </c>
      <c r="J108" s="323">
        <f>VLOOKUP(B108,'[5]Draft (Universal)'!$A$9:$U$155,21,0)</f>
        <v>5.1274308693842565</v>
      </c>
      <c r="K108" s="324">
        <f t="shared" si="5"/>
        <v>26303.720359941235</v>
      </c>
    </row>
    <row r="109" spans="2:11" ht="15">
      <c r="B109" s="336" t="s">
        <v>403</v>
      </c>
      <c r="C109" s="319" t="s">
        <v>135</v>
      </c>
      <c r="E109" s="320">
        <f t="shared" si="4"/>
        <v>154.91666666666666</v>
      </c>
      <c r="F109" s="320">
        <f>VLOOKUP(B109,'[5]Autumn'!$A$568:$C$844,3,0)</f>
        <v>0</v>
      </c>
      <c r="G109" s="321">
        <v>143</v>
      </c>
      <c r="H109" s="322">
        <f t="shared" si="3"/>
        <v>297.91666666666663</v>
      </c>
      <c r="J109" s="323">
        <f>VLOOKUP(B109,'[5]Draft (Universal)'!$A$9:$U$155,21,0)</f>
        <v>5.172999485650273</v>
      </c>
      <c r="K109" s="324">
        <f t="shared" si="5"/>
        <v>1541.1227634333102</v>
      </c>
    </row>
    <row r="110" spans="2:11" ht="15">
      <c r="B110" s="338" t="s">
        <v>408</v>
      </c>
      <c r="C110" s="319" t="s">
        <v>135</v>
      </c>
      <c r="E110" s="320">
        <f t="shared" si="4"/>
        <v>585</v>
      </c>
      <c r="F110" s="320">
        <f>VLOOKUP(B110,'[5]Autumn'!$A$568:$C$844,3,0)</f>
        <v>390</v>
      </c>
      <c r="G110" s="321">
        <v>540</v>
      </c>
      <c r="H110" s="322">
        <f t="shared" si="3"/>
        <v>1515</v>
      </c>
      <c r="J110" s="323">
        <f>VLOOKUP(B110,'[5]Draft (Universal)'!$A$9:$U$155,21,0)</f>
        <v>5.079685549865136</v>
      </c>
      <c r="K110" s="324">
        <f t="shared" si="5"/>
        <v>7695.723608045681</v>
      </c>
    </row>
    <row r="111" spans="2:11" ht="15">
      <c r="B111" s="338" t="s">
        <v>415</v>
      </c>
      <c r="C111" s="319" t="s">
        <v>135</v>
      </c>
      <c r="E111" s="320">
        <f t="shared" si="4"/>
        <v>195</v>
      </c>
      <c r="F111" s="320">
        <f>VLOOKUP(B111,'[5]Autumn'!$A$568:$C$844,3,0)</f>
        <v>0</v>
      </c>
      <c r="G111" s="321">
        <v>180</v>
      </c>
      <c r="H111" s="322">
        <f t="shared" si="3"/>
        <v>375</v>
      </c>
      <c r="J111" s="323">
        <f>VLOOKUP(B111,'[5]Draft (Universal)'!$A$9:$U$155,21,0)</f>
        <v>5.04426303610951</v>
      </c>
      <c r="K111" s="324">
        <f t="shared" si="5"/>
        <v>1891.5986385410663</v>
      </c>
    </row>
    <row r="112" spans="2:11" s="308" customFormat="1" ht="15">
      <c r="B112" s="339" t="s">
        <v>416</v>
      </c>
      <c r="C112" s="340"/>
      <c r="E112" s="322">
        <f>SUM(E4:E111)</f>
        <v>165902.20833333334</v>
      </c>
      <c r="F112" s="322">
        <f>SUM(F4:F111)</f>
        <v>117888.5</v>
      </c>
      <c r="G112" s="322">
        <f>SUM(G4:G111)</f>
        <v>153140.5</v>
      </c>
      <c r="H112" s="322">
        <f>SUM(H4:H111)</f>
        <v>436931.2083333333</v>
      </c>
      <c r="J112" s="341"/>
      <c r="K112" s="342">
        <f>SUM(K4:K111)</f>
        <v>2324155.7518075015</v>
      </c>
    </row>
    <row r="113" spans="2:11" ht="15">
      <c r="B113" s="318"/>
      <c r="C113" s="319"/>
      <c r="E113" s="320"/>
      <c r="F113" s="320"/>
      <c r="G113" s="321"/>
      <c r="H113" s="322"/>
      <c r="J113" s="323"/>
      <c r="K113" s="324"/>
    </row>
    <row r="114" spans="2:11" ht="15">
      <c r="B114" s="318"/>
      <c r="C114" s="319"/>
      <c r="E114" s="320"/>
      <c r="F114" s="320"/>
      <c r="G114" s="343"/>
      <c r="H114" s="322"/>
      <c r="J114" s="344"/>
      <c r="K114" s="324"/>
    </row>
    <row r="115" spans="1:11" ht="15">
      <c r="A115" s="10">
        <v>2001</v>
      </c>
      <c r="B115" s="345" t="s">
        <v>417</v>
      </c>
      <c r="C115" s="346" t="s">
        <v>155</v>
      </c>
      <c r="D115" s="347"/>
      <c r="E115" s="320">
        <f>G115/12*13</f>
        <v>1560</v>
      </c>
      <c r="F115" s="321"/>
      <c r="G115" s="321">
        <v>1440</v>
      </c>
      <c r="H115" s="322">
        <f aca="true" t="shared" si="6" ref="H115:H146">SUM(E115:G115)</f>
        <v>3000</v>
      </c>
      <c r="J115" s="323">
        <f>VLOOKUP(B115,'[5]Draft (Universal)'!A159:U216,21,0)</f>
        <v>5.78327838890236</v>
      </c>
      <c r="K115" s="324">
        <f aca="true" t="shared" si="7" ref="K115:K172">J115*H115</f>
        <v>17349.835166707082</v>
      </c>
    </row>
    <row r="116" spans="1:11" ht="15">
      <c r="A116" s="10">
        <v>3401</v>
      </c>
      <c r="B116" s="345" t="s">
        <v>418</v>
      </c>
      <c r="C116" s="346" t="s">
        <v>155</v>
      </c>
      <c r="D116" s="347"/>
      <c r="E116" s="320"/>
      <c r="F116" s="321"/>
      <c r="G116" s="321"/>
      <c r="H116" s="322">
        <f t="shared" si="6"/>
        <v>0</v>
      </c>
      <c r="J116" s="323">
        <f>VLOOKUP(B116,'[5]Draft (Universal)'!A160:U217,21,0)</f>
        <v>5.712820676247268</v>
      </c>
      <c r="K116" s="324">
        <f t="shared" si="7"/>
        <v>0</v>
      </c>
    </row>
    <row r="117" spans="1:11" ht="15">
      <c r="A117" s="10">
        <v>2003</v>
      </c>
      <c r="B117" s="345" t="s">
        <v>419</v>
      </c>
      <c r="C117" s="346" t="s">
        <v>155</v>
      </c>
      <c r="D117" s="347"/>
      <c r="E117" s="320"/>
      <c r="F117" s="321"/>
      <c r="G117" s="321"/>
      <c r="H117" s="322">
        <f t="shared" si="6"/>
        <v>0</v>
      </c>
      <c r="J117" s="323">
        <f>VLOOKUP(B117,'[5]Draft (Universal)'!A161:U218,21,0)</f>
        <v>5.267712730669549</v>
      </c>
      <c r="K117" s="324">
        <f t="shared" si="7"/>
        <v>0</v>
      </c>
    </row>
    <row r="118" spans="1:11" ht="15">
      <c r="A118" s="10">
        <v>2004</v>
      </c>
      <c r="B118" s="345" t="s">
        <v>127</v>
      </c>
      <c r="C118" s="346" t="s">
        <v>155</v>
      </c>
      <c r="D118" s="347"/>
      <c r="E118" s="320">
        <f>G118/12*13</f>
        <v>4875</v>
      </c>
      <c r="F118" s="321">
        <v>4875</v>
      </c>
      <c r="G118" s="321">
        <v>4500</v>
      </c>
      <c r="H118" s="322">
        <f t="shared" si="6"/>
        <v>14250</v>
      </c>
      <c r="J118" s="323">
        <f>VLOOKUP(B118,'[5]Draft (Universal)'!A162:U219,21,0)</f>
        <v>5.039412683222573</v>
      </c>
      <c r="K118" s="324">
        <f t="shared" si="7"/>
        <v>71811.63073592167</v>
      </c>
    </row>
    <row r="119" spans="1:11" ht="15">
      <c r="A119" s="93">
        <v>2002</v>
      </c>
      <c r="B119" s="345" t="s">
        <v>420</v>
      </c>
      <c r="C119" s="346" t="s">
        <v>155</v>
      </c>
      <c r="D119" s="347"/>
      <c r="E119" s="320"/>
      <c r="F119" s="321"/>
      <c r="G119" s="321"/>
      <c r="H119" s="322">
        <f t="shared" si="6"/>
        <v>0</v>
      </c>
      <c r="J119" s="323">
        <f>VLOOKUP(B119,'[5]Draft (Universal)'!A163:U220,21,0)</f>
        <v>5.78676989840924</v>
      </c>
      <c r="K119" s="324">
        <f t="shared" si="7"/>
        <v>0</v>
      </c>
    </row>
    <row r="120" spans="1:11" ht="15">
      <c r="A120" s="93">
        <v>3300</v>
      </c>
      <c r="B120" s="345" t="s">
        <v>421</v>
      </c>
      <c r="C120" s="346" t="s">
        <v>155</v>
      </c>
      <c r="D120" s="347"/>
      <c r="E120" s="320">
        <f>G120/12*13</f>
        <v>1950</v>
      </c>
      <c r="F120" s="321">
        <v>1560</v>
      </c>
      <c r="G120" s="321">
        <v>1800</v>
      </c>
      <c r="H120" s="322">
        <f t="shared" si="6"/>
        <v>5310</v>
      </c>
      <c r="J120" s="323">
        <f>VLOOKUP(B120,'[5]Draft (Universal)'!A164:U221,21,0)</f>
        <v>5.174955966646333</v>
      </c>
      <c r="K120" s="324">
        <f t="shared" si="7"/>
        <v>27479.01618289203</v>
      </c>
    </row>
    <row r="121" spans="1:11" ht="15">
      <c r="A121" s="93">
        <v>5206</v>
      </c>
      <c r="B121" s="345" t="s">
        <v>422</v>
      </c>
      <c r="C121" s="346" t="s">
        <v>155</v>
      </c>
      <c r="D121" s="347"/>
      <c r="E121" s="320">
        <f>G121/12*13</f>
        <v>2535</v>
      </c>
      <c r="F121" s="321">
        <v>1950</v>
      </c>
      <c r="G121" s="321">
        <v>2340</v>
      </c>
      <c r="H121" s="322">
        <f t="shared" si="6"/>
        <v>6825</v>
      </c>
      <c r="J121" s="323">
        <f>VLOOKUP(B121,'[5]Draft (Universal)'!A165:U222,21,0)</f>
        <v>5.688227351449887</v>
      </c>
      <c r="K121" s="324">
        <f t="shared" si="7"/>
        <v>38822.15167364548</v>
      </c>
    </row>
    <row r="122" spans="1:11" ht="15">
      <c r="A122" s="93">
        <v>2084</v>
      </c>
      <c r="B122" s="345" t="s">
        <v>29</v>
      </c>
      <c r="C122" s="346" t="s">
        <v>155</v>
      </c>
      <c r="D122" s="347"/>
      <c r="E122" s="320">
        <f>G122/12*13</f>
        <v>3510</v>
      </c>
      <c r="F122" s="321">
        <v>2070</v>
      </c>
      <c r="G122" s="321">
        <v>3240</v>
      </c>
      <c r="H122" s="322">
        <f t="shared" si="6"/>
        <v>8820</v>
      </c>
      <c r="J122" s="323">
        <f>VLOOKUP(B122,'[5]Draft (Universal)'!A166:U223,21,0)</f>
        <v>5.763380648352093</v>
      </c>
      <c r="K122" s="324">
        <f t="shared" si="7"/>
        <v>50833.017318465456</v>
      </c>
    </row>
    <row r="123" spans="1:11" ht="15">
      <c r="A123" s="10">
        <v>2010</v>
      </c>
      <c r="B123" s="345" t="s">
        <v>423</v>
      </c>
      <c r="C123" s="346" t="s">
        <v>155</v>
      </c>
      <c r="D123" s="347"/>
      <c r="E123" s="320">
        <f>G123/12*13</f>
        <v>3120</v>
      </c>
      <c r="F123" s="321">
        <v>2925</v>
      </c>
      <c r="G123" s="321">
        <v>2880</v>
      </c>
      <c r="H123" s="322">
        <f t="shared" si="6"/>
        <v>8925</v>
      </c>
      <c r="J123" s="323">
        <f>VLOOKUP(B123,'[5]Draft (Universal)'!A167:U224,21,0)</f>
        <v>5.726476714635599</v>
      </c>
      <c r="K123" s="324">
        <f t="shared" si="7"/>
        <v>51108.80467812272</v>
      </c>
    </row>
    <row r="124" spans="1:11" ht="15">
      <c r="A124" s="10">
        <v>2012</v>
      </c>
      <c r="B124" s="345" t="s">
        <v>424</v>
      </c>
      <c r="C124" s="346" t="s">
        <v>155</v>
      </c>
      <c r="D124" s="347"/>
      <c r="E124" s="320">
        <f>G124/12*13</f>
        <v>1560</v>
      </c>
      <c r="F124" s="321">
        <v>1365</v>
      </c>
      <c r="G124" s="321">
        <v>1440</v>
      </c>
      <c r="H124" s="322">
        <f t="shared" si="6"/>
        <v>4365</v>
      </c>
      <c r="J124" s="323">
        <f>VLOOKUP(B124,'[5]Draft (Universal)'!A168:U225,21,0)</f>
        <v>5.195068591285832</v>
      </c>
      <c r="K124" s="324">
        <f t="shared" si="7"/>
        <v>22676.474400962656</v>
      </c>
    </row>
    <row r="125" spans="1:11" ht="15">
      <c r="A125" s="93">
        <v>3410</v>
      </c>
      <c r="B125" s="345" t="s">
        <v>425</v>
      </c>
      <c r="C125" s="346" t="s">
        <v>155</v>
      </c>
      <c r="D125" s="347"/>
      <c r="E125" s="320"/>
      <c r="F125" s="321"/>
      <c r="G125" s="321"/>
      <c r="H125" s="322">
        <f t="shared" si="6"/>
        <v>0</v>
      </c>
      <c r="J125" s="323">
        <f>VLOOKUP(B125,'[5]Draft (Universal)'!A169:U226,21,0)</f>
        <v>5.689878781123297</v>
      </c>
      <c r="K125" s="324">
        <f t="shared" si="7"/>
        <v>0</v>
      </c>
    </row>
    <row r="126" spans="1:11" ht="15">
      <c r="A126" s="93">
        <v>2078</v>
      </c>
      <c r="B126" s="345" t="s">
        <v>426</v>
      </c>
      <c r="C126" s="346" t="s">
        <v>155</v>
      </c>
      <c r="D126" s="347"/>
      <c r="E126" s="320"/>
      <c r="F126" s="321"/>
      <c r="G126" s="321"/>
      <c r="H126" s="322">
        <f t="shared" si="6"/>
        <v>0</v>
      </c>
      <c r="J126" s="323">
        <f>VLOOKUP(B126,'[5]Draft (Universal)'!A170:U227,21,0)</f>
        <v>5.73485294336546</v>
      </c>
      <c r="K126" s="324">
        <f t="shared" si="7"/>
        <v>0</v>
      </c>
    </row>
    <row r="127" spans="1:11" ht="15">
      <c r="A127" s="10">
        <v>2016</v>
      </c>
      <c r="B127" s="345" t="s">
        <v>427</v>
      </c>
      <c r="C127" s="346" t="s">
        <v>155</v>
      </c>
      <c r="D127" s="347"/>
      <c r="E127" s="320">
        <f>G127/12*13</f>
        <v>3315</v>
      </c>
      <c r="F127" s="321">
        <v>2340</v>
      </c>
      <c r="G127" s="321">
        <v>3060</v>
      </c>
      <c r="H127" s="322">
        <f t="shared" si="6"/>
        <v>8715</v>
      </c>
      <c r="J127" s="323">
        <f>VLOOKUP(B127,'[5]Draft (Universal)'!A171:U228,21,0)</f>
        <v>5.224761030454105</v>
      </c>
      <c r="K127" s="324">
        <f t="shared" si="7"/>
        <v>45533.792380407525</v>
      </c>
    </row>
    <row r="128" spans="1:11" ht="15">
      <c r="A128" s="93">
        <v>3307</v>
      </c>
      <c r="B128" s="345" t="s">
        <v>428</v>
      </c>
      <c r="C128" s="346" t="s">
        <v>155</v>
      </c>
      <c r="D128" s="347"/>
      <c r="E128" s="320"/>
      <c r="F128" s="321"/>
      <c r="G128" s="321"/>
      <c r="H128" s="322">
        <f t="shared" si="6"/>
        <v>0</v>
      </c>
      <c r="J128" s="323">
        <f>VLOOKUP(B128,'[5]Draft (Universal)'!A172:U229,21,0)</f>
        <v>5.7116851593108136</v>
      </c>
      <c r="K128" s="324">
        <f t="shared" si="7"/>
        <v>0</v>
      </c>
    </row>
    <row r="129" spans="1:11" ht="15">
      <c r="A129" s="10">
        <v>2019</v>
      </c>
      <c r="B129" s="345" t="s">
        <v>429</v>
      </c>
      <c r="C129" s="346" t="s">
        <v>155</v>
      </c>
      <c r="D129" s="347"/>
      <c r="E129" s="320"/>
      <c r="F129" s="321"/>
      <c r="G129" s="321"/>
      <c r="H129" s="322">
        <f t="shared" si="6"/>
        <v>0</v>
      </c>
      <c r="J129" s="323">
        <f>VLOOKUP(B129,'[5]Draft (Universal)'!A173:U230,21,0)</f>
        <v>5.181173228478258</v>
      </c>
      <c r="K129" s="324">
        <f t="shared" si="7"/>
        <v>0</v>
      </c>
    </row>
    <row r="130" spans="1:11" ht="15">
      <c r="A130" s="10">
        <v>2076</v>
      </c>
      <c r="B130" s="345" t="s">
        <v>430</v>
      </c>
      <c r="C130" s="346" t="s">
        <v>155</v>
      </c>
      <c r="D130" s="347"/>
      <c r="E130" s="320"/>
      <c r="F130" s="321"/>
      <c r="G130" s="321"/>
      <c r="H130" s="322">
        <f t="shared" si="6"/>
        <v>0</v>
      </c>
      <c r="J130" s="323">
        <f>VLOOKUP(B130,'[5]Draft (Universal)'!A174:U231,21,0)</f>
        <v>5.145586602863965</v>
      </c>
      <c r="K130" s="324">
        <f t="shared" si="7"/>
        <v>0</v>
      </c>
    </row>
    <row r="131" spans="1:11" ht="15">
      <c r="A131" s="93">
        <v>2020</v>
      </c>
      <c r="B131" s="345" t="s">
        <v>431</v>
      </c>
      <c r="C131" s="346" t="s">
        <v>155</v>
      </c>
      <c r="D131" s="347"/>
      <c r="E131" s="320">
        <f>G131/12*13</f>
        <v>2856.75</v>
      </c>
      <c r="F131" s="321">
        <v>2467</v>
      </c>
      <c r="G131" s="321">
        <v>2637</v>
      </c>
      <c r="H131" s="322">
        <f t="shared" si="6"/>
        <v>7960.75</v>
      </c>
      <c r="J131" s="323">
        <f>VLOOKUP(B131,'[5]Draft (Universal)'!A175:U232,21,0)</f>
        <v>5.115109880905481</v>
      </c>
      <c r="K131" s="324">
        <f t="shared" si="7"/>
        <v>40720.11098441831</v>
      </c>
    </row>
    <row r="132" spans="1:11" ht="15">
      <c r="A132" s="93">
        <v>5203</v>
      </c>
      <c r="B132" s="345" t="s">
        <v>432</v>
      </c>
      <c r="C132" s="346" t="s">
        <v>155</v>
      </c>
      <c r="D132" s="347"/>
      <c r="E132" s="320"/>
      <c r="F132" s="321"/>
      <c r="G132" s="321"/>
      <c r="H132" s="322">
        <f t="shared" si="6"/>
        <v>0</v>
      </c>
      <c r="J132" s="323">
        <f>VLOOKUP(B132,'[5]Draft (Universal)'!A176:U233,21,0)</f>
        <v>5.342069128249128</v>
      </c>
      <c r="K132" s="324">
        <f t="shared" si="7"/>
        <v>0</v>
      </c>
    </row>
    <row r="133" spans="1:11" ht="15">
      <c r="A133" s="93">
        <v>4654</v>
      </c>
      <c r="B133" s="345" t="s">
        <v>47</v>
      </c>
      <c r="C133" s="346" t="s">
        <v>155</v>
      </c>
      <c r="D133" s="347"/>
      <c r="E133" s="320"/>
      <c r="F133" s="321"/>
      <c r="G133" s="321"/>
      <c r="H133" s="322">
        <f t="shared" si="6"/>
        <v>0</v>
      </c>
      <c r="J133" s="323">
        <f>VLOOKUP(B133,'[5]Draft (Universal)'!A177:U234,21,0)</f>
        <v>5.371701396897973</v>
      </c>
      <c r="K133" s="324">
        <f t="shared" si="7"/>
        <v>0</v>
      </c>
    </row>
    <row r="134" spans="1:11" ht="15">
      <c r="A134" s="93">
        <v>2024</v>
      </c>
      <c r="B134" s="345" t="s">
        <v>433</v>
      </c>
      <c r="C134" s="346" t="s">
        <v>155</v>
      </c>
      <c r="D134" s="347"/>
      <c r="E134" s="320">
        <f>G134/12*13</f>
        <v>2730</v>
      </c>
      <c r="F134" s="321">
        <v>2535</v>
      </c>
      <c r="G134" s="321">
        <v>2520</v>
      </c>
      <c r="H134" s="322">
        <f t="shared" si="6"/>
        <v>7785</v>
      </c>
      <c r="J134" s="323">
        <f>VLOOKUP(B134,'[5]Draft (Universal)'!A178:U235,21,0)</f>
        <v>5.252618718380187</v>
      </c>
      <c r="K134" s="324">
        <f t="shared" si="7"/>
        <v>40891.636722589756</v>
      </c>
    </row>
    <row r="135" spans="1:11" ht="15">
      <c r="A135" s="93">
        <v>2025</v>
      </c>
      <c r="B135" s="345" t="s">
        <v>434</v>
      </c>
      <c r="C135" s="346" t="s">
        <v>155</v>
      </c>
      <c r="D135" s="347"/>
      <c r="E135" s="320"/>
      <c r="F135" s="321"/>
      <c r="G135" s="321"/>
      <c r="H135" s="322">
        <f t="shared" si="6"/>
        <v>0</v>
      </c>
      <c r="J135" s="323">
        <f>VLOOKUP(B135,'[5]Draft (Universal)'!A179:U236,21,0)</f>
        <v>5.188486577324349</v>
      </c>
      <c r="K135" s="324">
        <f t="shared" si="7"/>
        <v>0</v>
      </c>
    </row>
    <row r="136" spans="1:11" ht="15">
      <c r="A136" s="93">
        <v>2026</v>
      </c>
      <c r="B136" s="345" t="s">
        <v>435</v>
      </c>
      <c r="C136" s="346" t="s">
        <v>155</v>
      </c>
      <c r="D136" s="347"/>
      <c r="E136" s="320"/>
      <c r="F136" s="321"/>
      <c r="G136" s="321"/>
      <c r="H136" s="322">
        <f t="shared" si="6"/>
        <v>0</v>
      </c>
      <c r="J136" s="323">
        <f>VLOOKUP(B136,'[5]Draft (Universal)'!A180:U237,21,0)</f>
        <v>5.698580826841383</v>
      </c>
      <c r="K136" s="324">
        <f t="shared" si="7"/>
        <v>0</v>
      </c>
    </row>
    <row r="137" spans="1:11" ht="15">
      <c r="A137" s="93">
        <v>5211</v>
      </c>
      <c r="B137" s="345" t="s">
        <v>436</v>
      </c>
      <c r="C137" s="346" t="s">
        <v>155</v>
      </c>
      <c r="D137" s="347"/>
      <c r="E137" s="320"/>
      <c r="F137" s="321"/>
      <c r="G137" s="321"/>
      <c r="H137" s="322">
        <f t="shared" si="6"/>
        <v>0</v>
      </c>
      <c r="J137" s="323">
        <f>VLOOKUP(B137,'[5]Draft (Universal)'!A181:U238,21,0)</f>
        <v>5.293501194282246</v>
      </c>
      <c r="K137" s="324">
        <f t="shared" si="7"/>
        <v>0</v>
      </c>
    </row>
    <row r="138" spans="1:11" ht="17.25" customHeight="1">
      <c r="A138" s="93">
        <v>2029</v>
      </c>
      <c r="B138" s="345" t="s">
        <v>437</v>
      </c>
      <c r="C138" s="346" t="s">
        <v>155</v>
      </c>
      <c r="D138" s="347"/>
      <c r="E138" s="320"/>
      <c r="F138" s="321"/>
      <c r="G138" s="321"/>
      <c r="H138" s="322">
        <f t="shared" si="6"/>
        <v>0</v>
      </c>
      <c r="J138" s="323">
        <f>VLOOKUP(B138,'[5]Draft (Universal)'!A182:U239,21,0)</f>
        <v>5.303335145744338</v>
      </c>
      <c r="K138" s="324">
        <f t="shared" si="7"/>
        <v>0</v>
      </c>
    </row>
    <row r="139" spans="1:11" ht="15">
      <c r="A139" s="93">
        <v>2061</v>
      </c>
      <c r="B139" s="345" t="s">
        <v>438</v>
      </c>
      <c r="C139" s="346" t="s">
        <v>155</v>
      </c>
      <c r="D139" s="347"/>
      <c r="E139" s="320"/>
      <c r="F139" s="321"/>
      <c r="G139" s="321"/>
      <c r="H139" s="322">
        <f t="shared" si="6"/>
        <v>0</v>
      </c>
      <c r="J139" s="323">
        <f>VLOOKUP(B139,'[5]Draft (Universal)'!A183:U240,21,0)</f>
        <v>5.226128814032175</v>
      </c>
      <c r="K139" s="324">
        <f t="shared" si="7"/>
        <v>0</v>
      </c>
    </row>
    <row r="140" spans="1:11" ht="15">
      <c r="A140" s="93">
        <v>2021</v>
      </c>
      <c r="B140" s="345" t="s">
        <v>439</v>
      </c>
      <c r="C140" s="346" t="s">
        <v>155</v>
      </c>
      <c r="D140" s="347"/>
      <c r="E140" s="320"/>
      <c r="F140" s="321"/>
      <c r="G140" s="321"/>
      <c r="H140" s="322">
        <f t="shared" si="6"/>
        <v>0</v>
      </c>
      <c r="J140" s="323">
        <f>VLOOKUP(B140,'[5]Draft (Universal)'!A184:U241,21,0)</f>
        <v>5.686726051746788</v>
      </c>
      <c r="K140" s="324">
        <f t="shared" si="7"/>
        <v>0</v>
      </c>
    </row>
    <row r="141" spans="1:11" ht="15">
      <c r="A141" s="93">
        <v>2063</v>
      </c>
      <c r="B141" s="345" t="s">
        <v>440</v>
      </c>
      <c r="C141" s="346" t="s">
        <v>155</v>
      </c>
      <c r="D141" s="347"/>
      <c r="E141" s="320"/>
      <c r="F141" s="321"/>
      <c r="G141" s="321"/>
      <c r="H141" s="322">
        <f t="shared" si="6"/>
        <v>0</v>
      </c>
      <c r="J141" s="323">
        <f>VLOOKUP(B141,'[5]Draft (Universal)'!A185:U242,21,0)</f>
        <v>5.360780472198455</v>
      </c>
      <c r="K141" s="324">
        <f t="shared" si="7"/>
        <v>0</v>
      </c>
    </row>
    <row r="142" spans="1:11" ht="15">
      <c r="A142" s="93">
        <v>2081</v>
      </c>
      <c r="B142" s="345" t="s">
        <v>441</v>
      </c>
      <c r="C142" s="346" t="s">
        <v>155</v>
      </c>
      <c r="D142" s="347"/>
      <c r="E142" s="320">
        <f>G142/12*13</f>
        <v>2925</v>
      </c>
      <c r="F142" s="321">
        <v>2535</v>
      </c>
      <c r="G142" s="321">
        <v>2700</v>
      </c>
      <c r="H142" s="322">
        <f t="shared" si="6"/>
        <v>8160</v>
      </c>
      <c r="J142" s="323">
        <f>VLOOKUP(B142,'[5]Draft (Universal)'!A186:U243,21,0)</f>
        <v>5.324423800797686</v>
      </c>
      <c r="K142" s="324">
        <f t="shared" si="7"/>
        <v>43447.29821450912</v>
      </c>
    </row>
    <row r="143" spans="1:11" ht="15">
      <c r="A143" s="93">
        <v>5204</v>
      </c>
      <c r="B143" s="345" t="s">
        <v>442</v>
      </c>
      <c r="C143" s="346" t="s">
        <v>155</v>
      </c>
      <c r="D143" s="347"/>
      <c r="E143" s="320">
        <f>G143/12*13</f>
        <v>2054</v>
      </c>
      <c r="F143" s="321">
        <v>1963</v>
      </c>
      <c r="G143" s="321">
        <v>1896</v>
      </c>
      <c r="H143" s="322">
        <f t="shared" si="6"/>
        <v>5913</v>
      </c>
      <c r="J143" s="323">
        <f>VLOOKUP(B143,'[5]Draft (Universal)'!A187:U244,21,0)</f>
        <v>5.2157138836545816</v>
      </c>
      <c r="K143" s="324">
        <f t="shared" si="7"/>
        <v>30840.51619404954</v>
      </c>
    </row>
    <row r="144" spans="1:11" ht="15">
      <c r="A144" s="10">
        <v>3302</v>
      </c>
      <c r="B144" s="345" t="s">
        <v>443</v>
      </c>
      <c r="C144" s="346" t="s">
        <v>155</v>
      </c>
      <c r="D144" s="347"/>
      <c r="E144" s="320"/>
      <c r="F144" s="321"/>
      <c r="G144" s="321"/>
      <c r="H144" s="322">
        <f t="shared" si="6"/>
        <v>0</v>
      </c>
      <c r="J144" s="323">
        <f>VLOOKUP(B144,'[5]Draft (Universal)'!A188:U245,21,0)</f>
        <v>5.12099757007223</v>
      </c>
      <c r="K144" s="324">
        <f t="shared" si="7"/>
        <v>0</v>
      </c>
    </row>
    <row r="145" spans="1:11" ht="15">
      <c r="A145" s="93">
        <v>2027</v>
      </c>
      <c r="B145" s="348" t="s">
        <v>444</v>
      </c>
      <c r="C145" s="346" t="s">
        <v>155</v>
      </c>
      <c r="D145" s="347"/>
      <c r="E145" s="320"/>
      <c r="F145" s="321"/>
      <c r="G145" s="321"/>
      <c r="H145" s="322">
        <f t="shared" si="6"/>
        <v>0</v>
      </c>
      <c r="J145" s="323">
        <f>VLOOKUP(B145,'[5]Draft (Universal)'!A189:U246,21,0)</f>
        <v>5.322593931370985</v>
      </c>
      <c r="K145" s="324">
        <f t="shared" si="7"/>
        <v>0</v>
      </c>
    </row>
    <row r="146" spans="1:11" ht="15">
      <c r="A146" s="93">
        <v>2033</v>
      </c>
      <c r="B146" s="345" t="s">
        <v>445</v>
      </c>
      <c r="C146" s="346" t="s">
        <v>155</v>
      </c>
      <c r="D146" s="347"/>
      <c r="E146" s="320"/>
      <c r="F146" s="321"/>
      <c r="G146" s="321"/>
      <c r="H146" s="322">
        <f t="shared" si="6"/>
        <v>0</v>
      </c>
      <c r="J146" s="323">
        <f>VLOOKUP(B146,'[5]Draft (Universal)'!A190:U247,21,0)</f>
        <v>5.123485466596133</v>
      </c>
      <c r="K146" s="324">
        <f t="shared" si="7"/>
        <v>0</v>
      </c>
    </row>
    <row r="147" spans="1:11" ht="15">
      <c r="A147" s="93">
        <v>2028</v>
      </c>
      <c r="B147" s="348" t="s">
        <v>446</v>
      </c>
      <c r="C147" s="346" t="s">
        <v>155</v>
      </c>
      <c r="D147" s="347"/>
      <c r="E147" s="320"/>
      <c r="F147" s="321"/>
      <c r="G147" s="321"/>
      <c r="H147" s="322">
        <f aca="true" t="shared" si="8" ref="H147:H172">SUM(E147:G147)</f>
        <v>0</v>
      </c>
      <c r="J147" s="323">
        <f>VLOOKUP(B147,'[5]Draft (Universal)'!A191:U248,21,0)</f>
        <v>5.707483525695174</v>
      </c>
      <c r="K147" s="324">
        <f t="shared" si="7"/>
        <v>0</v>
      </c>
    </row>
    <row r="148" spans="1:11" ht="15">
      <c r="A148" s="10">
        <v>2017</v>
      </c>
      <c r="B148" s="345" t="s">
        <v>447</v>
      </c>
      <c r="C148" s="346" t="s">
        <v>155</v>
      </c>
      <c r="D148" s="347"/>
      <c r="E148" s="320">
        <f>G148/12*13</f>
        <v>585</v>
      </c>
      <c r="F148" s="321">
        <v>1365</v>
      </c>
      <c r="G148" s="321">
        <v>540</v>
      </c>
      <c r="H148" s="322">
        <f t="shared" si="8"/>
        <v>2490</v>
      </c>
      <c r="J148" s="323">
        <f>VLOOKUP(B148,'[5]Draft (Universal)'!A192:U249,21,0)</f>
        <v>5.806835099953187</v>
      </c>
      <c r="K148" s="324">
        <f t="shared" si="7"/>
        <v>14459.019398883434</v>
      </c>
    </row>
    <row r="149" spans="1:11" ht="15">
      <c r="A149" s="93">
        <v>1000</v>
      </c>
      <c r="B149" s="345" t="s">
        <v>172</v>
      </c>
      <c r="C149" s="346" t="s">
        <v>155</v>
      </c>
      <c r="D149" s="347"/>
      <c r="E149" s="320">
        <f>G149/12*13</f>
        <v>4858.75</v>
      </c>
      <c r="F149" s="321">
        <v>4485</v>
      </c>
      <c r="G149" s="321">
        <v>4485</v>
      </c>
      <c r="H149" s="322">
        <f t="shared" si="8"/>
        <v>13828.75</v>
      </c>
      <c r="J149" s="323">
        <f>VLOOKUP(B149,'[5]Draft (Universal)'!A193:U250,21,0)</f>
        <v>5.747917107378052</v>
      </c>
      <c r="K149" s="324">
        <f t="shared" si="7"/>
        <v>79486.50869865424</v>
      </c>
    </row>
    <row r="150" spans="1:11" ht="15">
      <c r="A150" s="93">
        <v>2037</v>
      </c>
      <c r="B150" s="345" t="s">
        <v>448</v>
      </c>
      <c r="C150" s="346" t="s">
        <v>155</v>
      </c>
      <c r="D150" s="347"/>
      <c r="E150" s="320"/>
      <c r="F150" s="321"/>
      <c r="G150" s="321"/>
      <c r="H150" s="322">
        <f t="shared" si="8"/>
        <v>0</v>
      </c>
      <c r="J150" s="323">
        <f>VLOOKUP(B150,'[5]Draft (Universal)'!A194:U251,21,0)</f>
        <v>5.748258742474274</v>
      </c>
      <c r="K150" s="324">
        <f t="shared" si="7"/>
        <v>0</v>
      </c>
    </row>
    <row r="151" spans="1:11" ht="15">
      <c r="A151" s="93">
        <v>2039</v>
      </c>
      <c r="B151" s="345" t="s">
        <v>449</v>
      </c>
      <c r="C151" s="346" t="s">
        <v>155</v>
      </c>
      <c r="D151" s="347"/>
      <c r="E151" s="320"/>
      <c r="F151" s="321"/>
      <c r="G151" s="321"/>
      <c r="H151" s="322">
        <f t="shared" si="8"/>
        <v>0</v>
      </c>
      <c r="J151" s="323">
        <f>VLOOKUP(B151,'[5]Draft (Universal)'!A195:U252,21,0)</f>
        <v>5.108138646914812</v>
      </c>
      <c r="K151" s="324">
        <f t="shared" si="7"/>
        <v>0</v>
      </c>
    </row>
    <row r="152" spans="1:11" ht="15">
      <c r="A152" s="93">
        <v>5200</v>
      </c>
      <c r="B152" s="345" t="s">
        <v>450</v>
      </c>
      <c r="C152" s="346" t="s">
        <v>155</v>
      </c>
      <c r="D152" s="347"/>
      <c r="E152" s="320">
        <f>G152/12*13</f>
        <v>6526</v>
      </c>
      <c r="F152" s="321">
        <f>5951.5+146.5</f>
        <v>6098</v>
      </c>
      <c r="G152" s="321">
        <v>6024</v>
      </c>
      <c r="H152" s="322">
        <f t="shared" si="8"/>
        <v>18648</v>
      </c>
      <c r="J152" s="323">
        <f>VLOOKUP(B152,'[5]Draft (Universal)'!A196:U253,21,0)</f>
        <v>5.216171394273507</v>
      </c>
      <c r="K152" s="324">
        <f t="shared" si="7"/>
        <v>97271.16416041236</v>
      </c>
    </row>
    <row r="153" spans="1:11" ht="15">
      <c r="A153" s="93">
        <v>2040</v>
      </c>
      <c r="B153" s="345" t="s">
        <v>256</v>
      </c>
      <c r="C153" s="346" t="s">
        <v>155</v>
      </c>
      <c r="D153" s="347"/>
      <c r="E153" s="320"/>
      <c r="F153" s="321"/>
      <c r="G153" s="321">
        <v>2160</v>
      </c>
      <c r="H153" s="322">
        <f t="shared" si="8"/>
        <v>2160</v>
      </c>
      <c r="J153" s="323">
        <f>VLOOKUP(B153,'[5]Draft (Universal)'!A197:U254,21,0)</f>
        <v>5.353012317635239</v>
      </c>
      <c r="K153" s="324">
        <f t="shared" si="7"/>
        <v>11562.506606092116</v>
      </c>
    </row>
    <row r="154" spans="1:11" ht="15">
      <c r="A154" s="93">
        <v>2064</v>
      </c>
      <c r="B154" s="345" t="s">
        <v>451</v>
      </c>
      <c r="C154" s="346" t="s">
        <v>155</v>
      </c>
      <c r="D154" s="347"/>
      <c r="E154" s="320"/>
      <c r="F154" s="321"/>
      <c r="G154" s="321"/>
      <c r="H154" s="322">
        <f t="shared" si="8"/>
        <v>0</v>
      </c>
      <c r="J154" s="323">
        <f>VLOOKUP(B154,'[5]Draft (Universal)'!A198:U255,21,0)</f>
        <v>5.739894503345466</v>
      </c>
      <c r="K154" s="324">
        <f t="shared" si="7"/>
        <v>0</v>
      </c>
    </row>
    <row r="155" spans="1:11" ht="15">
      <c r="A155" s="93">
        <v>2045</v>
      </c>
      <c r="B155" s="348" t="s">
        <v>50</v>
      </c>
      <c r="C155" s="346" t="s">
        <v>155</v>
      </c>
      <c r="D155" s="347"/>
      <c r="E155" s="320"/>
      <c r="F155" s="321"/>
      <c r="G155" s="321"/>
      <c r="H155" s="322">
        <f t="shared" si="8"/>
        <v>0</v>
      </c>
      <c r="J155" s="323">
        <f>VLOOKUP(B155,'[5]Draft (Universal)'!A199:U256,21,0)</f>
        <v>5.7122544021149055</v>
      </c>
      <c r="K155" s="324">
        <f t="shared" si="7"/>
        <v>0</v>
      </c>
    </row>
    <row r="156" spans="1:11" ht="15">
      <c r="A156" s="93">
        <v>2080</v>
      </c>
      <c r="B156" s="345" t="s">
        <v>452</v>
      </c>
      <c r="C156" s="346" t="s">
        <v>155</v>
      </c>
      <c r="D156" s="347"/>
      <c r="E156" s="320"/>
      <c r="F156" s="321"/>
      <c r="G156" s="321"/>
      <c r="H156" s="322">
        <f t="shared" si="8"/>
        <v>0</v>
      </c>
      <c r="J156" s="323">
        <f>VLOOKUP(B156,'[5]Draft (Universal)'!A200:U257,21,0)</f>
        <v>5.22692961991735</v>
      </c>
      <c r="K156" s="324">
        <f t="shared" si="7"/>
        <v>0</v>
      </c>
    </row>
    <row r="157" spans="1:11" ht="15">
      <c r="A157" s="93">
        <v>2048</v>
      </c>
      <c r="B157" s="345" t="s">
        <v>453</v>
      </c>
      <c r="C157" s="346" t="s">
        <v>155</v>
      </c>
      <c r="D157" s="347"/>
      <c r="E157" s="320">
        <f>G157/12*13</f>
        <v>1365</v>
      </c>
      <c r="F157" s="321">
        <v>1050</v>
      </c>
      <c r="G157" s="321">
        <v>1260</v>
      </c>
      <c r="H157" s="322">
        <f t="shared" si="8"/>
        <v>3675</v>
      </c>
      <c r="J157" s="323">
        <f>VLOOKUP(B157,'[5]Draft (Universal)'!A201:U258,21,0)</f>
        <v>5.273442210017242</v>
      </c>
      <c r="K157" s="324">
        <f t="shared" si="7"/>
        <v>19379.900121813364</v>
      </c>
    </row>
    <row r="158" spans="1:11" ht="15">
      <c r="A158" s="93">
        <v>3405</v>
      </c>
      <c r="B158" s="345" t="s">
        <v>454</v>
      </c>
      <c r="C158" s="346" t="s">
        <v>155</v>
      </c>
      <c r="D158" s="347"/>
      <c r="E158" s="320"/>
      <c r="F158" s="321"/>
      <c r="G158" s="321"/>
      <c r="H158" s="322">
        <f t="shared" si="8"/>
        <v>0</v>
      </c>
      <c r="J158" s="323">
        <f>VLOOKUP(B158,'[5]Draft (Universal)'!A202:U259,21,0)</f>
        <v>5.145499042490697</v>
      </c>
      <c r="K158" s="324">
        <f t="shared" si="7"/>
        <v>0</v>
      </c>
    </row>
    <row r="159" spans="1:11" ht="15">
      <c r="A159" s="93">
        <v>5208</v>
      </c>
      <c r="B159" s="345" t="s">
        <v>455</v>
      </c>
      <c r="C159" s="346" t="s">
        <v>155</v>
      </c>
      <c r="D159" s="347"/>
      <c r="E159" s="320"/>
      <c r="F159" s="321"/>
      <c r="G159" s="321"/>
      <c r="H159" s="322">
        <f t="shared" si="8"/>
        <v>0</v>
      </c>
      <c r="J159" s="323">
        <f>VLOOKUP(B159,'[5]Draft (Universal)'!A203:U260,21,0)</f>
        <v>5.687273400596877</v>
      </c>
      <c r="K159" s="324">
        <f t="shared" si="7"/>
        <v>0</v>
      </c>
    </row>
    <row r="160" spans="1:11" ht="15">
      <c r="A160" s="93">
        <v>3402</v>
      </c>
      <c r="B160" s="345" t="s">
        <v>456</v>
      </c>
      <c r="C160" s="346" t="s">
        <v>155</v>
      </c>
      <c r="D160" s="347"/>
      <c r="E160" s="320"/>
      <c r="F160" s="321"/>
      <c r="G160" s="321"/>
      <c r="H160" s="322">
        <f t="shared" si="8"/>
        <v>0</v>
      </c>
      <c r="J160" s="323">
        <f>VLOOKUP(B160,'[5]Draft (Universal)'!A204:U261,21,0)</f>
        <v>5.321013166017278</v>
      </c>
      <c r="K160" s="324">
        <f t="shared" si="7"/>
        <v>0</v>
      </c>
    </row>
    <row r="161" spans="1:11" ht="15">
      <c r="A161" s="93">
        <v>3403</v>
      </c>
      <c r="B161" s="345" t="s">
        <v>457</v>
      </c>
      <c r="C161" s="346" t="s">
        <v>155</v>
      </c>
      <c r="D161" s="347"/>
      <c r="E161" s="320"/>
      <c r="F161" s="321"/>
      <c r="G161" s="321"/>
      <c r="H161" s="322">
        <f t="shared" si="8"/>
        <v>0</v>
      </c>
      <c r="J161" s="323">
        <f>VLOOKUP(B161,'[5]Draft (Universal)'!A205:U262,21,0)</f>
        <v>5.800737544315874</v>
      </c>
      <c r="K161" s="324">
        <f t="shared" si="7"/>
        <v>0</v>
      </c>
    </row>
    <row r="162" spans="1:11" ht="15">
      <c r="A162" s="93">
        <v>2035</v>
      </c>
      <c r="B162" s="348" t="s">
        <v>458</v>
      </c>
      <c r="C162" s="346" t="s">
        <v>155</v>
      </c>
      <c r="D162" s="347"/>
      <c r="E162" s="320">
        <f>G162/12*13</f>
        <v>1560</v>
      </c>
      <c r="F162" s="321"/>
      <c r="G162" s="321">
        <v>1440</v>
      </c>
      <c r="H162" s="322">
        <f t="shared" si="8"/>
        <v>3000</v>
      </c>
      <c r="J162" s="323">
        <f>VLOOKUP(B162,'[5]Draft (Universal)'!A206:U263,21,0)</f>
        <v>5.779258658947312</v>
      </c>
      <c r="K162" s="324">
        <f t="shared" si="7"/>
        <v>17337.77597684194</v>
      </c>
    </row>
    <row r="163" spans="1:11" ht="15">
      <c r="A163" s="93">
        <v>3404</v>
      </c>
      <c r="B163" s="345" t="s">
        <v>459</v>
      </c>
      <c r="C163" s="346" t="s">
        <v>155</v>
      </c>
      <c r="D163" s="347"/>
      <c r="E163" s="320"/>
      <c r="F163" s="321"/>
      <c r="G163" s="321"/>
      <c r="H163" s="322">
        <f t="shared" si="8"/>
        <v>0</v>
      </c>
      <c r="J163" s="323">
        <f>VLOOKUP(B163,'[5]Draft (Universal)'!A207:U264,21,0)</f>
        <v>5.318674941709558</v>
      </c>
      <c r="K163" s="324">
        <f t="shared" si="7"/>
        <v>0</v>
      </c>
    </row>
    <row r="164" spans="1:11" ht="15">
      <c r="A164" s="93">
        <v>3306</v>
      </c>
      <c r="B164" s="345" t="s">
        <v>460</v>
      </c>
      <c r="C164" s="346" t="s">
        <v>155</v>
      </c>
      <c r="D164" s="347"/>
      <c r="E164" s="320"/>
      <c r="F164" s="321"/>
      <c r="G164" s="321"/>
      <c r="H164" s="322">
        <f t="shared" si="8"/>
        <v>0</v>
      </c>
      <c r="J164" s="323">
        <f>VLOOKUP(B164,'[5]Draft (Universal)'!A208:U265,21,0)</f>
        <v>5.737744881859881</v>
      </c>
      <c r="K164" s="324">
        <f t="shared" si="7"/>
        <v>0</v>
      </c>
    </row>
    <row r="165" spans="1:11" ht="15">
      <c r="A165" s="93">
        <v>3400</v>
      </c>
      <c r="B165" s="345" t="s">
        <v>461</v>
      </c>
      <c r="C165" s="346" t="s">
        <v>155</v>
      </c>
      <c r="D165" s="347"/>
      <c r="E165" s="320"/>
      <c r="F165" s="321"/>
      <c r="G165" s="321"/>
      <c r="H165" s="322">
        <f t="shared" si="8"/>
        <v>0</v>
      </c>
      <c r="J165" s="323">
        <f>VLOOKUP(B165,'[5]Draft (Universal)'!A209:U266,21,0)</f>
        <v>5.188905147369595</v>
      </c>
      <c r="K165" s="324">
        <f t="shared" si="7"/>
        <v>0</v>
      </c>
    </row>
    <row r="166" spans="1:11" ht="15">
      <c r="A166" s="10">
        <v>2065</v>
      </c>
      <c r="B166" s="345" t="s">
        <v>462</v>
      </c>
      <c r="C166" s="346" t="s">
        <v>155</v>
      </c>
      <c r="D166" s="347"/>
      <c r="E166" s="320"/>
      <c r="F166" s="321"/>
      <c r="G166" s="321"/>
      <c r="H166" s="322">
        <f t="shared" si="8"/>
        <v>0</v>
      </c>
      <c r="J166" s="323">
        <f>VLOOKUP(B166,'[5]Draft (Universal)'!A210:U267,21,0)</f>
        <v>5.104953076607298</v>
      </c>
      <c r="K166" s="324">
        <f t="shared" si="7"/>
        <v>0</v>
      </c>
    </row>
    <row r="167" spans="1:11" ht="15">
      <c r="A167" s="10">
        <v>2051</v>
      </c>
      <c r="B167" s="345" t="s">
        <v>463</v>
      </c>
      <c r="C167" s="346" t="s">
        <v>155</v>
      </c>
      <c r="D167" s="347"/>
      <c r="E167" s="320"/>
      <c r="F167" s="321"/>
      <c r="G167" s="321"/>
      <c r="H167" s="322">
        <f t="shared" si="8"/>
        <v>0</v>
      </c>
      <c r="J167" s="323">
        <f>VLOOKUP(B167,'[5]Draft (Universal)'!A211:U268,21,0)</f>
        <v>5.765968896176538</v>
      </c>
      <c r="K167" s="324">
        <f t="shared" si="7"/>
        <v>0</v>
      </c>
    </row>
    <row r="168" spans="1:11" ht="15">
      <c r="A168" s="10">
        <v>2069</v>
      </c>
      <c r="B168" s="345" t="s">
        <v>464</v>
      </c>
      <c r="C168" s="346" t="s">
        <v>155</v>
      </c>
      <c r="D168" s="347"/>
      <c r="E168" s="320"/>
      <c r="F168" s="321"/>
      <c r="G168" s="321"/>
      <c r="H168" s="322">
        <f t="shared" si="8"/>
        <v>0</v>
      </c>
      <c r="J168" s="323">
        <f>VLOOKUP(B168,'[5]Draft (Universal)'!A212:U269,21,0)</f>
        <v>5.336627122449747</v>
      </c>
      <c r="K168" s="324">
        <f t="shared" si="7"/>
        <v>0</v>
      </c>
    </row>
    <row r="169" spans="1:11" ht="15">
      <c r="A169" s="93">
        <v>2074</v>
      </c>
      <c r="B169" s="345" t="s">
        <v>465</v>
      </c>
      <c r="C169" s="346" t="s">
        <v>155</v>
      </c>
      <c r="D169" s="347"/>
      <c r="E169" s="320"/>
      <c r="F169" s="321"/>
      <c r="G169" s="321"/>
      <c r="H169" s="322">
        <f t="shared" si="8"/>
        <v>0</v>
      </c>
      <c r="J169" s="323">
        <f>VLOOKUP(B169,'[5]Draft (Universal)'!A213:U270,21,0)</f>
        <v>5.163507397204871</v>
      </c>
      <c r="K169" s="324">
        <f t="shared" si="7"/>
        <v>0</v>
      </c>
    </row>
    <row r="170" spans="1:11" ht="15">
      <c r="A170" s="93">
        <v>2049</v>
      </c>
      <c r="B170" s="345" t="s">
        <v>466</v>
      </c>
      <c r="C170" s="346" t="s">
        <v>155</v>
      </c>
      <c r="D170" s="347"/>
      <c r="E170" s="320"/>
      <c r="F170" s="321"/>
      <c r="G170" s="321"/>
      <c r="H170" s="322">
        <f t="shared" si="8"/>
        <v>0</v>
      </c>
      <c r="J170" s="323">
        <f>VLOOKUP(B170,'[5]Draft (Universal)'!A214:U271,21,0)</f>
        <v>5.354842303621175</v>
      </c>
      <c r="K170" s="324">
        <f t="shared" si="7"/>
        <v>0</v>
      </c>
    </row>
    <row r="171" spans="1:11" ht="15">
      <c r="A171" s="93">
        <v>2060</v>
      </c>
      <c r="B171" s="349" t="s">
        <v>467</v>
      </c>
      <c r="C171" s="346" t="s">
        <v>155</v>
      </c>
      <c r="D171" s="347"/>
      <c r="E171" s="320"/>
      <c r="F171" s="321"/>
      <c r="G171" s="321"/>
      <c r="H171" s="322">
        <f t="shared" si="8"/>
        <v>0</v>
      </c>
      <c r="J171" s="323">
        <f>VLOOKUP(B171,'[5]Draft (Universal)'!A215:U272,21,0)</f>
        <v>5.723167671878133</v>
      </c>
      <c r="K171" s="324">
        <f t="shared" si="7"/>
        <v>0</v>
      </c>
    </row>
    <row r="172" spans="1:11" ht="15">
      <c r="A172" s="93">
        <v>2082</v>
      </c>
      <c r="B172" s="345" t="s">
        <v>468</v>
      </c>
      <c r="C172" s="346" t="s">
        <v>155</v>
      </c>
      <c r="D172" s="347"/>
      <c r="E172" s="320"/>
      <c r="F172" s="321"/>
      <c r="G172" s="321"/>
      <c r="H172" s="322">
        <f t="shared" si="8"/>
        <v>0</v>
      </c>
      <c r="J172" s="323">
        <f>VLOOKUP(B172,'[5]Draft (Universal)'!A216:U273,21,0)</f>
        <v>5.681554469348481</v>
      </c>
      <c r="K172" s="324">
        <f t="shared" si="7"/>
        <v>0</v>
      </c>
    </row>
    <row r="173" spans="2:11" ht="15">
      <c r="B173" s="345" t="s">
        <v>469</v>
      </c>
      <c r="C173" s="346"/>
      <c r="D173" s="347"/>
      <c r="E173" s="350">
        <f>SUM(E115:E172)</f>
        <v>47885.5</v>
      </c>
      <c r="F173" s="350">
        <f>SUM(F115:F172)</f>
        <v>39583</v>
      </c>
      <c r="G173" s="350">
        <f>SUM(G115:G172)</f>
        <v>46362</v>
      </c>
      <c r="H173" s="322"/>
      <c r="J173" s="344"/>
      <c r="K173" s="324">
        <f>SUM(K115:K172)</f>
        <v>721011.159615389</v>
      </c>
    </row>
    <row r="174" spans="2:11" ht="15">
      <c r="B174" s="345"/>
      <c r="C174" s="346"/>
      <c r="D174" s="347"/>
      <c r="E174" s="351"/>
      <c r="F174" s="351"/>
      <c r="G174" s="352"/>
      <c r="H174" s="353"/>
      <c r="J174" s="344"/>
      <c r="K174" s="324"/>
    </row>
    <row r="175" spans="2:11" s="308" customFormat="1" ht="15">
      <c r="B175" s="354" t="s">
        <v>234</v>
      </c>
      <c r="C175" s="355"/>
      <c r="D175" s="356"/>
      <c r="E175" s="357">
        <f>E112+E173</f>
        <v>213787.70833333334</v>
      </c>
      <c r="F175" s="357">
        <f>F112+F173</f>
        <v>157471.5</v>
      </c>
      <c r="G175" s="357">
        <f>G112+G173</f>
        <v>199502.5</v>
      </c>
      <c r="H175" s="357">
        <f>H112+H173</f>
        <v>436931.2083333333</v>
      </c>
      <c r="J175" s="339"/>
      <c r="K175" s="358">
        <f>K112+K173</f>
        <v>3045166.9114228906</v>
      </c>
    </row>
    <row r="176" spans="2:11" ht="15">
      <c r="B176" s="345" t="s">
        <v>173</v>
      </c>
      <c r="C176" s="346"/>
      <c r="D176" s="347"/>
      <c r="E176" s="351"/>
      <c r="F176" s="351"/>
      <c r="G176" s="352"/>
      <c r="H176" s="353"/>
      <c r="J176" s="344"/>
      <c r="K176" s="324"/>
    </row>
    <row r="177" spans="2:11" ht="15">
      <c r="B177" s="359"/>
      <c r="C177" s="360"/>
      <c r="D177" s="347"/>
      <c r="E177" s="361"/>
      <c r="F177" s="361"/>
      <c r="G177" s="362"/>
      <c r="H177" s="363"/>
      <c r="J177" s="364"/>
      <c r="K177" s="365"/>
    </row>
    <row r="178" spans="2:11" ht="15">
      <c r="B178" s="366"/>
      <c r="C178" s="347"/>
      <c r="D178" s="347"/>
      <c r="K178" s="367"/>
    </row>
    <row r="179" spans="2:11" ht="15">
      <c r="B179" s="366"/>
      <c r="C179" s="347"/>
      <c r="D179" s="347"/>
      <c r="K179" s="367"/>
    </row>
    <row r="180" spans="2:11" ht="15">
      <c r="B180" s="366"/>
      <c r="C180" s="347"/>
      <c r="D180" s="347"/>
      <c r="K180" s="367"/>
    </row>
    <row r="181" spans="2:11" ht="15">
      <c r="B181" s="366"/>
      <c r="C181" s="347"/>
      <c r="D181" s="347"/>
      <c r="K181" s="367"/>
    </row>
    <row r="182" spans="2:11" ht="15">
      <c r="B182" s="366"/>
      <c r="C182" s="347"/>
      <c r="D182" s="347"/>
      <c r="K182" s="367"/>
    </row>
    <row r="183" spans="2:11" ht="15">
      <c r="B183" s="366"/>
      <c r="C183" s="347"/>
      <c r="D183" s="347"/>
      <c r="K183" s="367"/>
    </row>
    <row r="184" spans="2:11" ht="15">
      <c r="B184" s="366"/>
      <c r="C184" s="347"/>
      <c r="D184" s="347"/>
      <c r="K184" s="367"/>
    </row>
    <row r="186" ht="15">
      <c r="K186" s="368"/>
    </row>
    <row r="187" ht="15">
      <c r="K187" s="367"/>
    </row>
  </sheetData>
  <sheetProtection/>
  <autoFilter ref="B3:K112"/>
  <printOptions/>
  <pageMargins left="0.7086614173228347" right="0.7086614173228347" top="0.7480314960629921" bottom="0.7480314960629921" header="0.31496062992125984" footer="0.31496062992125984"/>
  <pageSetup fitToHeight="4" fitToWidth="1" horizontalDpi="600" verticalDpi="600" orientation="landscape" paperSize="8" scale="65" r:id="rId1"/>
</worksheet>
</file>

<file path=xl/worksheets/sheet9.xml><?xml version="1.0" encoding="utf-8"?>
<worksheet xmlns="http://schemas.openxmlformats.org/spreadsheetml/2006/main" xmlns:r="http://schemas.openxmlformats.org/officeDocument/2006/relationships">
  <dimension ref="B1:C16"/>
  <sheetViews>
    <sheetView zoomScalePageLayoutView="0" workbookViewId="0" topLeftCell="A1">
      <selection activeCell="C11" sqref="C11"/>
    </sheetView>
  </sheetViews>
  <sheetFormatPr defaultColWidth="9.140625" defaultRowHeight="12.75"/>
  <sheetData>
    <row r="1" ht="12.75">
      <c r="C1" t="s">
        <v>227</v>
      </c>
    </row>
    <row r="2" spans="2:3" ht="12.75">
      <c r="B2" s="201">
        <v>1</v>
      </c>
      <c r="C2" t="s">
        <v>224</v>
      </c>
    </row>
    <row r="3" spans="2:3" ht="12.75">
      <c r="B3" s="201">
        <v>2</v>
      </c>
      <c r="C3" t="s">
        <v>225</v>
      </c>
    </row>
    <row r="4" spans="2:3" ht="12.75">
      <c r="B4" s="201">
        <v>3</v>
      </c>
      <c r="C4" t="s">
        <v>226</v>
      </c>
    </row>
    <row r="5" spans="2:3" ht="12.75">
      <c r="B5" s="201">
        <v>4</v>
      </c>
      <c r="C5" t="s">
        <v>228</v>
      </c>
    </row>
    <row r="6" spans="2:3" ht="12.75">
      <c r="B6" s="201">
        <v>5</v>
      </c>
      <c r="C6" t="s">
        <v>229</v>
      </c>
    </row>
    <row r="7" spans="2:3" ht="12.75">
      <c r="B7" s="201">
        <v>6</v>
      </c>
      <c r="C7" t="s">
        <v>233</v>
      </c>
    </row>
    <row r="8" spans="2:3" ht="12.75">
      <c r="B8" s="201">
        <v>7</v>
      </c>
      <c r="C8" t="s">
        <v>237</v>
      </c>
    </row>
    <row r="9" spans="2:3" ht="12.75">
      <c r="B9" s="201">
        <v>8</v>
      </c>
      <c r="C9" t="s">
        <v>238</v>
      </c>
    </row>
    <row r="10" spans="2:3" ht="12.75">
      <c r="B10" s="201">
        <v>9</v>
      </c>
      <c r="C10" t="s">
        <v>239</v>
      </c>
    </row>
    <row r="11" ht="12.75">
      <c r="B11" s="201">
        <v>10</v>
      </c>
    </row>
    <row r="12" ht="12.75">
      <c r="B12" s="201">
        <v>11</v>
      </c>
    </row>
    <row r="13" ht="12.75">
      <c r="B13" s="201">
        <v>12</v>
      </c>
    </row>
    <row r="14" ht="12.75">
      <c r="B14" s="201">
        <v>13</v>
      </c>
    </row>
    <row r="15" ht="12.75">
      <c r="B15" s="201">
        <v>14</v>
      </c>
    </row>
    <row r="16" ht="12.75">
      <c r="B16" s="201">
        <v>15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London Borough of Hillingdon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 Munro</dc:creator>
  <cp:keywords/>
  <dc:description/>
  <cp:lastModifiedBy>GYoung</cp:lastModifiedBy>
  <cp:lastPrinted>2018-08-21T13:57:55Z</cp:lastPrinted>
  <dcterms:created xsi:type="dcterms:W3CDTF">2013-01-31T15:35:29Z</dcterms:created>
  <dcterms:modified xsi:type="dcterms:W3CDTF">2018-08-21T14:04:00Z</dcterms:modified>
  <cp:category/>
  <cp:version/>
  <cp:contentType/>
  <cp:contentStatus/>
</cp:coreProperties>
</file>